
<file path=[Content_Types].xml><?xml version="1.0" encoding="utf-8"?>
<Types xmlns="http://schemas.openxmlformats.org/package/2006/content-types">
  <Default ContentType="application/xml" Extension="xml"/>
  <Default ContentType="image/png" Extension="png"/>
  <Default ContentType="application/vnd.openxmlformats-package.relationships+xml" Extension="rels"/>
  <Override ContentType="application/vnd.openxmlformats-officedocument.spreadsheetml.worksheet+xml" PartName="/xl/worksheets/sheet5.xml"/>
  <Override ContentType="application/vnd.openxmlformats-officedocument.spreadsheetml.worksheet+xml" PartName="/xl/worksheets/sheet4.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6.xml"/>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3.xml"/>
  <Override ContentType="application/vnd.openxmlformats-officedocument.drawing+xml" PartName="/xl/drawings/drawing6.xml"/>
  <Override ContentType="application/vnd.openxmlformats-officedocument.drawing+xml" PartName="/xl/drawings/drawing5.xml"/>
  <Override ContentType="application/vnd.openxmlformats-officedocument.drawing+xml" PartName="/xl/drawings/drawing1.xml"/>
  <Override ContentType="application/vnd.openxmlformats-officedocument.drawing+xml" PartName="/xl/drawings/drawing2.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AP1000 and EPR" sheetId="1" r:id="rId4"/>
    <sheet state="visible" name="BWRX-300" sheetId="2" r:id="rId5"/>
    <sheet state="visible" name="Wind" sheetId="3" r:id="rId6"/>
    <sheet state="visible" name="Solar" sheetId="4" r:id="rId7"/>
    <sheet state="visible" name="LFP battery system" sheetId="5" r:id="rId8"/>
    <sheet state="visible" name="Assumed materials and RMRs" sheetId="6" r:id="rId9"/>
  </sheets>
  <definedNames/>
  <calcPr/>
</workbook>
</file>

<file path=xl/sharedStrings.xml><?xml version="1.0" encoding="utf-8"?>
<sst xmlns="http://schemas.openxmlformats.org/spreadsheetml/2006/main" count="1240" uniqueCount="622">
  <si>
    <t>red = not usable or not used</t>
  </si>
  <si>
    <t>yellow = derived source, looking for original source instead</t>
  </si>
  <si>
    <t>green = value utilized</t>
  </si>
  <si>
    <t>Note: we assume a conversion factor of 2.75 metric tons concrete/m^3. This is likely an aggressive overestimate of concrete requirements.</t>
  </si>
  <si>
    <t>Allen et al., EEDB 1986 report</t>
  </si>
  <si>
    <t>https://www.osti.gov/biblio/6927146</t>
  </si>
  <si>
    <t>https://www.osti.gov/servlets/purl/6927146</t>
  </si>
  <si>
    <t>Table 4-3, 1144 MWe Pressurized Water Reactor - Median Experience (using median rather than best case)</t>
  </si>
  <si>
    <t>total balance-of-plant system, including cooling towers</t>
  </si>
  <si>
    <t>am assuming all units are imperial, including tons</t>
  </si>
  <si>
    <t>tons imperial assumed</t>
  </si>
  <si>
    <t>metric tons</t>
  </si>
  <si>
    <t>metric tons/GW</t>
  </si>
  <si>
    <t>Ratio of rebar to structural + embedded steel</t>
  </si>
  <si>
    <t>Fraction of rebar out of all steel</t>
  </si>
  <si>
    <t>Reinforcing steel (rebar)</t>
  </si>
  <si>
    <t>Embedded steel (stainless)</t>
  </si>
  <si>
    <t>Structural steel (stainless)</t>
  </si>
  <si>
    <t>Total stainless steel</t>
  </si>
  <si>
    <t>Cubic yards</t>
  </si>
  <si>
    <t>cubic meters</t>
  </si>
  <si>
    <t>tons (assuming 2.75 metric tons/m^3 concrete)</t>
  </si>
  <si>
    <t>Structural concrete</t>
  </si>
  <si>
    <t>Concrete fill</t>
  </si>
  <si>
    <t>Sum</t>
  </si>
  <si>
    <t>pounds</t>
  </si>
  <si>
    <t>Ratio of carbon steel to stainless steel in piping</t>
  </si>
  <si>
    <t>Fraction of carbon steel out of all piping steel</t>
  </si>
  <si>
    <t>Carbon steel piping (NS)</t>
  </si>
  <si>
    <t>Stainless steel piping (NS)</t>
  </si>
  <si>
    <t>Carbon steel piping (NNS)</t>
  </si>
  <si>
    <t>Stainless steel piping (NNS)</t>
  </si>
  <si>
    <t>Sum of carbon steel in piping</t>
  </si>
  <si>
    <t>Sum of stainless steel in piping</t>
  </si>
  <si>
    <t>Total concrete</t>
  </si>
  <si>
    <t>Total steel in piping</t>
  </si>
  <si>
    <t>Total rebar</t>
  </si>
  <si>
    <t>Total rebar, embedded, and structural steel</t>
  </si>
  <si>
    <t>Fraction of piping out of all steel shown above</t>
  </si>
  <si>
    <t>Total carbon steel</t>
  </si>
  <si>
    <t>Total of all steel shown above</t>
  </si>
  <si>
    <t>amounts may not capture steel, concrete, and other materials in valves, fire protection, BOP pumps, heat exchangers, turbine generators, instrumentation and control, heat/ventilation/air conditioning, lighting and service power, duct runs and wire containers, wire and cable, electrical balance-of-plant, nuclear steam supply system, and other systems</t>
  </si>
  <si>
    <t>Based on these data, we assume:</t>
  </si>
  <si>
    <t>12.6% of all balance-of-plant steel, excluding equipment and reactor vessel, is for piping. The remaining 87.4% of steel is structural, embedded, and reinforcing steel.</t>
  </si>
  <si>
    <t>Of the piping fraction, we assume 88.3% is carbon steel, with the remaining 11.7% is stainless steel</t>
  </si>
  <si>
    <t>For the remaining construction steel, we assume 66.8% is rebar, with the remaining 33.2% being stainless steel</t>
  </si>
  <si>
    <t>W. Robb Stewart and Koroush Shirvan</t>
  </si>
  <si>
    <t>https://mitprod-my.sharepoint.com/personal/carrin_mit_edu/_layouts/15/onedrive.aspx?id=%2Fpersonal%2Fcarrin%5Fmit%5Fedu%2FDocuments%2FAttachments%2F194%2DANP%20TR%20CANES%2Epdf&amp;parent=%2Fpersonal%2Fcarrin%5Fmit%5Fedu%2FDocuments%2FAttachments&amp;ga=1</t>
  </si>
  <si>
    <t>Capital Cost Evaluation of Advanced Water-Cooled Reactor Designs With Consideration of Uncertainty and Risk</t>
  </si>
  <si>
    <t>Are cooling towers considered in the steel and concrete whole-of-plant totals for all/any of the large LWRs examined, or is once-through cooling assumed in the report for all designs?
Do the concrete and steel totals in Figures 2.10, 2.11, and 2.12 consider only building/structural materials? Or do these values also include piping and plant equipment like turbines, reactor, safeguards, radwaste handling, etc.</t>
  </si>
  <si>
    <t xml:space="preserve">Yes we have a generic cooling tower. Same as before, cooling tower from site to site varies widely.
Steel in those figures does not include equipment but everything else.
Not those figures also include some assumed rework which is why numbers change from FOAK to NOAK. </t>
  </si>
  <si>
    <t>FOAK</t>
  </si>
  <si>
    <t>NOAK</t>
  </si>
  <si>
    <t>Total concrete (m^3/MWe)</t>
  </si>
  <si>
    <t>Safety concrete (m^3/MWe)</t>
  </si>
  <si>
    <t>Other concrete (m^3/MWe)</t>
  </si>
  <si>
    <t>Total steel (tonnes/MWe)</t>
  </si>
  <si>
    <t>Safety steel (tonnes/MWe)</t>
  </si>
  <si>
    <t>Other steel (tonnes/MWe)</t>
  </si>
  <si>
    <t>PWR12</t>
  </si>
  <si>
    <t>PWR12 (1200MW four-loop Westinghouse PWR, EEDB)</t>
  </si>
  <si>
    <t>LPSR</t>
  </si>
  <si>
    <t>LPSR (AP1000)</t>
  </si>
  <si>
    <t>MMNC (12x74)</t>
  </si>
  <si>
    <t>MMNC (12x74 NuScale)</t>
  </si>
  <si>
    <t>NC-SMR</t>
  </si>
  <si>
    <t>NC-SMR (Holtec SMR-160)</t>
  </si>
  <si>
    <t>DC-PWR</t>
  </si>
  <si>
    <t>DC-PWR (Framatome EPR)</t>
  </si>
  <si>
    <t>LASR</t>
  </si>
  <si>
    <t>LASR (KEPCO APR1400)</t>
  </si>
  <si>
    <t>LM-BWR</t>
  </si>
  <si>
    <t>LM-BWR (GE-Hitachi ABWR)</t>
  </si>
  <si>
    <t>SM-BWR</t>
  </si>
  <si>
    <t>SM-BWR (GE-Hitachi BWRX-300)</t>
  </si>
  <si>
    <t>*values are visually estimated from Figures 2.10 and 2.12, which may cause some subcategories not to add up to total values</t>
  </si>
  <si>
    <t>**we are adopting FOAK values to be aggressive</t>
  </si>
  <si>
    <t>Stewart + Shirvan</t>
  </si>
  <si>
    <t>AP1000</t>
  </si>
  <si>
    <t>EPR</t>
  </si>
  <si>
    <t>Fraction of safety concrete out of total</t>
  </si>
  <si>
    <t>Safety concrete (m^3/GW)</t>
  </si>
  <si>
    <t>Other concrete (m^3/GW)</t>
  </si>
  <si>
    <t>Total concrete (m^3/GW)</t>
  </si>
  <si>
    <t>tonnes/GW</t>
  </si>
  <si>
    <t>Fraction of safety steel out of total</t>
  </si>
  <si>
    <t>Carbon steel</t>
  </si>
  <si>
    <t>Safety steel (tonnes/GW)</t>
  </si>
  <si>
    <t>Stainless steel</t>
  </si>
  <si>
    <t>Other steel (tonnes/GW)</t>
  </si>
  <si>
    <t>Rebar</t>
  </si>
  <si>
    <t>Total steel (tonnes/GW)</t>
  </si>
  <si>
    <t>Check sum</t>
  </si>
  <si>
    <t>Concrete (assuming 2.75 metric tons/m^3)</t>
  </si>
  <si>
    <t xml:space="preserve">Westinghouse AP1000 Design Control Document Rev. 19 - Tier 2 Chapter 5 – Reactor Coolant System and Connected Systems – Section 5.3 Reactor Vessel
</t>
  </si>
  <si>
    <t>https://www.nrc.gov/docs/ML1117/ML11171A453.pdf</t>
  </si>
  <si>
    <t>The reactor vessel (including closure head) is approximately 40 feet long and has an inner
diameter at the core region of 159 inches. The total weight of the vessel (including closure head
and CRDMs) is approximately 417 tons. Surfaces which can become wetted during operation and
refueling are clad to a nominal 0.22 inches of thickness with stainless steel welded overlay which
includes the upper shell top surface but not the stud holes. The AP1000 reactor vessel’s design
objective is to withstand the design environment of 2500 psi and 650°F for 60 years. The major
factor affecting vessel life is radiation degradation of the lower shell.</t>
  </si>
  <si>
    <t>Environmental Science &amp; Technology</t>
  </si>
  <si>
    <t>Note: all dimensions match IAEA IRIS</t>
  </si>
  <si>
    <t>AP1000 reactor pressure vessel mass</t>
  </si>
  <si>
    <t>IAEA - Advanced Reactors Information System(ARIS)</t>
  </si>
  <si>
    <t>https://aris.iaea.org/sites/RPV.html</t>
  </si>
  <si>
    <t>Inner diameter of cylindrical shell (mm)</t>
  </si>
  <si>
    <t>Wall thickness of cylindrical shell (mm)</t>
  </si>
  <si>
    <t>Total height, inside (mm)</t>
  </si>
  <si>
    <t>Base material</t>
  </si>
  <si>
    <t>16MND5 steel base material</t>
  </si>
  <si>
    <t>Transport weight (tonnes)</t>
  </si>
  <si>
    <t>Notes</t>
  </si>
  <si>
    <t>TVO press release gives a similar value of 526 tons https://web.archive.org/web/20130829122705/http://www.tvo.fi/page-2085</t>
  </si>
  <si>
    <t>Metal And Concrete Inputs For Several Nuclear Power Plants</t>
  </si>
  <si>
    <t>https://pdfs.semanticscholar.org/519e/a5c55a312f3f45ccfcc4a093a941366c6658.pdf</t>
  </si>
  <si>
    <t>1380 MWe ABWR in Table 3, 1500 MWe ESBWR in Table 4, 1600 MWe EPR in Table 5, 286 MW GR-MHR in Table 6, 1235 MW AHTR-IT in Table 7</t>
  </si>
  <si>
    <t xml:space="preserve">Table 8 Specific building volume and specific concrete volume for several BWR turbine building designs </t>
  </si>
  <si>
    <t>Because detailed plan and elevation drawings of the reactor buildings were available, the reactor building total volume and concrete volume results are among the most accurate in this study.</t>
  </si>
  <si>
    <t>Such drawings were also available for the remaining structures on the nuclear island (fuel, auxiliary, and safeguard structures) as well as the ABWR and ESBWR turbine building, so volume and concrete estimates for these buildings were also among the most accurate.</t>
  </si>
  <si>
    <t>Nuclear input includes reactor building (212), reactor auxiliaries (215), radioactive waste
building (216), fuel storage (217), half of miscellaneous buildings (218), and all the reactor plant
equipment (22). Non-nuclear input includes all others except for the nuclear island input.</t>
  </si>
  <si>
    <t>1970s PWR (1000 MW)</t>
  </si>
  <si>
    <t>ABWR (1380 MW)</t>
  </si>
  <si>
    <t>ESBWR (1500 MW)</t>
  </si>
  <si>
    <t>EPR (1600 MW)</t>
  </si>
  <si>
    <t>Concrete (cubic meters)</t>
  </si>
  <si>
    <t>Concrete (metric tons)</t>
  </si>
  <si>
    <t>Total steel/iron (metric tons)</t>
  </si>
  <si>
    <t>Total metal (metric tons)</t>
  </si>
  <si>
    <t>Total nonferrous metal (metric tons)</t>
  </si>
  <si>
    <t>Rebar (metric tons)</t>
  </si>
  <si>
    <t>Entire plant</t>
  </si>
  <si>
    <t>Nuclear island (yellow)</t>
  </si>
  <si>
    <t>non-nuclear</t>
  </si>
  <si>
    <t>Structures and site</t>
  </si>
  <si>
    <t>Site improvements</t>
  </si>
  <si>
    <t>Reactor building</t>
  </si>
  <si>
    <t>Turbine building</t>
  </si>
  <si>
    <t>Intake and discharge</t>
  </si>
  <si>
    <t>Reactor auxiliaries</t>
  </si>
  <si>
    <t>Radioactive waste building</t>
  </si>
  <si>
    <t>n/a</t>
  </si>
  <si>
    <t>Fuel storage</t>
  </si>
  <si>
    <t>Miscellaneous buildings</t>
  </si>
  <si>
    <t>Guard buildings</t>
  </si>
  <si>
    <t>Reactor plant equipment</t>
  </si>
  <si>
    <t>Reactor equipment</t>
  </si>
  <si>
    <t>Main heat transfer system</t>
  </si>
  <si>
    <t>Safeguards cooling system</t>
  </si>
  <si>
    <t>Radwaste system</t>
  </si>
  <si>
    <t>Fuel handling systems</t>
  </si>
  <si>
    <t>Other reactor equipment</t>
  </si>
  <si>
    <t>Instrumentation and control</t>
  </si>
  <si>
    <t>Turbine plant equipment</t>
  </si>
  <si>
    <t>Turbine-generators</t>
  </si>
  <si>
    <t>Heat rejection systems</t>
  </si>
  <si>
    <t>Condensing systems</t>
  </si>
  <si>
    <t>Feed-heating system</t>
  </si>
  <si>
    <t>Other equipment</t>
  </si>
  <si>
    <t>Electric plant equipment</t>
  </si>
  <si>
    <t>Switchgear</t>
  </si>
  <si>
    <t>Station service equipment</t>
  </si>
  <si>
    <t>Switchboards</t>
  </si>
  <si>
    <t>Protective equipment</t>
  </si>
  <si>
    <t>Structure and Enclosure</t>
  </si>
  <si>
    <t>Power and control wiring</t>
  </si>
  <si>
    <t>Miscellaneous equipment</t>
  </si>
  <si>
    <t>Transportation and lifting equipment</t>
  </si>
  <si>
    <t>Air and water service systems</t>
  </si>
  <si>
    <t>Communications equipment</t>
  </si>
  <si>
    <t>Furnishings and fixtures</t>
  </si>
  <si>
    <t>*green denotes original calculation. yellow rows denote nuclear inputs (as opposed to non-nuclear materials). Red values for EPR appear to sum up correctly, but the methodology is unclear from the paper.</t>
  </si>
  <si>
    <t>Non-nuclear per GW</t>
  </si>
  <si>
    <t>All other equipment sans reactor equipment</t>
  </si>
  <si>
    <t>Reactor steel assumed - AP1000 pressure vessel mass per GW (1114MW reactor)</t>
  </si>
  <si>
    <t>Reactor steel assumed - EPR pressure vessel mass per GW (1114MW reactor)</t>
  </si>
  <si>
    <t>tons/GW</t>
  </si>
  <si>
    <t>Equipment stainless steel</t>
  </si>
  <si>
    <t>Fraction of rebar in non-reactor vessel total metal</t>
  </si>
  <si>
    <t>Fraction of stainless steel in other equipment total meta</t>
  </si>
  <si>
    <t>Reactor carbon steel</t>
  </si>
  <si>
    <t>Equipment rebar</t>
  </si>
  <si>
    <t xml:space="preserve">*assuming rebar and stainless steel make up 5.1% and 90.4% of non-reactor vessel total metal </t>
  </si>
  <si>
    <t>cubic meters per GW</t>
  </si>
  <si>
    <t>Equipment concrete</t>
  </si>
  <si>
    <t>We add these totals to our AP1000 concrete and steel totals from Stewart and Shirvan, 2022</t>
  </si>
  <si>
    <t>We add these totals to our EPR concrete and steel totals from Stewart and Shirvan, 2022</t>
  </si>
  <si>
    <t>Buildings, cooling towers, piping</t>
  </si>
  <si>
    <t>Concrete (from Stewart and Shirvan, row 67 of this sheet)</t>
  </si>
  <si>
    <t>Equipment</t>
  </si>
  <si>
    <t>Equipment and reactor vessel</t>
  </si>
  <si>
    <t>Total whole-plant concrete</t>
  </si>
  <si>
    <t>*all units in cubic meters per GW</t>
  </si>
  <si>
    <t>Totals</t>
  </si>
  <si>
    <t>AP1000, tons per GW</t>
  </si>
  <si>
    <t>EPR, tons per GW</t>
  </si>
  <si>
    <t>Assuming 2.75 metric tons per m^3</t>
  </si>
  <si>
    <t>Carbon steel (rebar and equipment)</t>
  </si>
  <si>
    <t>Total of all steel types</t>
  </si>
  <si>
    <t>*all units in metric tonnes per GW</t>
  </si>
  <si>
    <t>**henceforth, we assume carbon steel for piping has identical composition to carbon steel rebar. Differences in terms of alloy constituents should be negligible</t>
  </si>
  <si>
    <t>Total</t>
  </si>
  <si>
    <t>Iron</t>
  </si>
  <si>
    <t>Nickel</t>
  </si>
  <si>
    <t>Chromium</t>
  </si>
  <si>
    <t>Manganese</t>
  </si>
  <si>
    <t>Molybdenum</t>
  </si>
  <si>
    <t>Pomponi, F. and J. Hart, The greenhouse gas emissions of nuclear energy – Life cycle assessment of a European pressurised reactor.</t>
  </si>
  <si>
    <t>Applied Energy, 2021. 290: p. 116743 Available from:</t>
  </si>
  <si>
    <t>https://www.sciencedirect.com/science/article/pii/S0306261921002555.</t>
  </si>
  <si>
    <t>Steel and concrete numbers are taken from other sources, fuel rod and cluster control assembly estimates are original calculations</t>
  </si>
  <si>
    <t xml:space="preserve">*am only using fuel rod and cluster control assembly estimates. Flamanville and Hinkley are a bit unique. Flamanville required a 40 m excavation to place the basemat. Hinkley required very large tunnels to bring in the water and plans to return cooling water at a distance of around a mile offshore. </t>
  </si>
  <si>
    <t>Text mentions 3 million tonnes of concrete and 220,000 tons of reinforcement steel for Hinkley Point C</t>
  </si>
  <si>
    <t>tons/GW (3,200 MW capacity at HPC)</t>
  </si>
  <si>
    <t>Concrete</t>
  </si>
  <si>
    <t>Reinforcement steel</t>
  </si>
  <si>
    <t>The paper says 220000 tons of reinforcement steel, but source actually gives 230000 tons</t>
  </si>
  <si>
    <t>Supplement:</t>
  </si>
  <si>
    <t>63865 fuel rods per EPR reactor at HPC, 2 reactors</t>
  </si>
  <si>
    <t>Cites Areva EPR brochure: 4272 rods together at HPC, so cluster control assemblies contain</t>
  </si>
  <si>
    <t>Maximum mass of UO2 of 323 tons, so 285 tons of uranium</t>
  </si>
  <si>
    <t>880 kg boron</t>
  </si>
  <si>
    <t>6500 kg of Gadolinium, 26359.26 kg of zirconium</t>
  </si>
  <si>
    <t>2400 kg silver</t>
  </si>
  <si>
    <t>450 kg indium</t>
  </si>
  <si>
    <t>150 kg cadmium</t>
  </si>
  <si>
    <t>Generic design assessment AP1000 nuclear power plant design by Westinghouse Electric Company LLC</t>
  </si>
  <si>
    <t>https://assets.publishing.service.gov.uk/media/5a7d008fed915d28e9f39754/geho0510bskh-e-e.pdf</t>
  </si>
  <si>
    <t xml:space="preserve">The AP1000 reactor core comprises 157 fuel assemblies. Each fuel assembly consists of 264 fuel rods in a 17x17 square array. </t>
  </si>
  <si>
    <t>number of fuel rods</t>
  </si>
  <si>
    <t>The number of fuel rods per unit nameplate generation capacity is very similar to the EPR, so we assume the same mineral intensities for cluster control assemblies as above</t>
  </si>
  <si>
    <t>EPR and AP1000</t>
  </si>
  <si>
    <t>Boron</t>
  </si>
  <si>
    <t>Silver</t>
  </si>
  <si>
    <t>Indium</t>
  </si>
  <si>
    <t>Cadmium</t>
  </si>
  <si>
    <t>Gibon and Menacho 2023</t>
  </si>
  <si>
    <t>https://pubs.acs.org/doi/suppl/10.1021/acs.est.3c03190/suppl_file/es3c03190_si_001.pdf</t>
  </si>
  <si>
    <r>
      <rPr/>
      <t xml:space="preserve">Fizaine, F. and Court, V., (2015), Renewable electricity producing technologies and metal depletion: a sensitivity analysis using the EROI, Ecological Economics, 110, 106–118, </t>
    </r>
    <r>
      <rPr>
        <color rgb="FF1155CC"/>
        <u/>
      </rPr>
      <t>https://doi.org/10.1016/j.ecolecon.2014.12.001</t>
    </r>
  </si>
  <si>
    <r>
      <rPr/>
      <t xml:space="preserve">Valero, A. et al. (2018), Global material requirements for the energy transition. An exergy flow analysis of decarbonisation pathways, Energy, 159, 1175-1184, </t>
    </r>
    <r>
      <rPr>
        <color rgb="FF1155CC"/>
        <u/>
      </rPr>
      <t>https://doi.org/10.1016/j.energy.2018.06.149</t>
    </r>
  </si>
  <si>
    <r>
      <rPr/>
      <t xml:space="preserve">Vidal, O., Goffé, B., and Arndt, N. (2013), Metals for a lowcarbon society, Nature Geoscience, 6(11), 894-896, </t>
    </r>
    <r>
      <rPr>
        <color rgb="FF1155CC"/>
        <u/>
      </rPr>
      <t>https://doi.org/10.1038/ngeo1993</t>
    </r>
  </si>
  <si>
    <t>Bryan, R.H., and I.T. Dudley. Estimated Quantities of Materials Contained in a 1000-MW(e) PWR Power Plant. ORNL-TM-4515. 1974.</t>
  </si>
  <si>
    <r>
      <rPr/>
      <t xml:space="preserve">Moss et al. (2011), Critical Metals in Strategic Energy Technologies: Assessing Rare Metals as Supply-Chain Bottlenecks in Low-Carbon Energy Technologies, EC JRC (Joint Research Center), </t>
    </r>
    <r>
      <rPr>
        <color rgb="FF1155CC"/>
        <u/>
      </rPr>
      <t>https://doi.org/10.2790/35716</t>
    </r>
  </si>
  <si>
    <t>Gibon, Thomas, and Álvaro Hahn Menacho. "Parametric Life Cycle Assessment of Nuclear Power for Simplified Models." Environmental Science &amp; Technology 57, no. 38 (2023): 14194-14205.</t>
  </si>
  <si>
    <t>Copper estimates per GW of nuclear plant capacity range in these sources from 560 to 1470 tons of copper per GW</t>
  </si>
  <si>
    <t>We adopt 1470 tons of copper per GW as an aggressive estimate</t>
  </si>
  <si>
    <t>Lead</t>
  </si>
  <si>
    <t xml:space="preserve">Assumed for shielding in Bryan and Dudley 1974. Uncertain estimate. </t>
  </si>
  <si>
    <t>This is much higher than values given in Moss et al., 2011 (4.3 tons/GW) and Fizaine and Court, 2015 (0.04 tons/GW), so we adopt this value as an aggressive estimate</t>
  </si>
  <si>
    <t>Tin</t>
  </si>
  <si>
    <t>Bryan and Dudley 1974 - assumed to be used in Babbitt metal (4.5% Antimony, 91.0% tin, 4.5% copper) in bearing liners for turbine equipment and generators. More resilient non-tin materials are now used today, so we omit this tin demand.</t>
  </si>
  <si>
    <t>Moss et al., 2011 - Part of zircaloy 4 composition. Cited source is the AP1000 application for licensing in the UK, link provided is broken, source cannot be found on search engines. This is a fuel material, so we omit here to avoid any double-counting with fuel materials.</t>
  </si>
  <si>
    <t>Aluminum</t>
  </si>
  <si>
    <t>Table S9, Gibon and Menacho 2023. Authors cite ecoinvent database.</t>
  </si>
  <si>
    <t>Valero et al., 2018. Authors cite another Valero et al., 2018 paper that in practice does not appear to provide or justify this value.</t>
  </si>
  <si>
    <t>Vidal et al., 2013. Authors cite a Quillé construction document for the Flamanville EPR plant, but the link provided is broken while the original document cannot be found on search engines.</t>
  </si>
  <si>
    <t>Bryan and Dudley 1974 - assumed to be used some roof decks and siding. None assumed in electrical cables or bus bars. Uncertain estimate.</t>
  </si>
  <si>
    <t>Tungsten</t>
  </si>
  <si>
    <t>Moss et al., 2011 - cited source is the AP1000 application for licensing in the UK, link provided is broken, source cannot be found on search engines. Limited use of Ni-based superalloys. Some W in high temp turbine blades (Cr-Mo-V-W steel). Nominal figure selected. We adopt this number as an aggressive estimate.</t>
  </si>
  <si>
    <t>Magnesium</t>
  </si>
  <si>
    <t>Bryan and Dudley 1974 - assumed to be 85% of asbestos-based (!!!) insulation. Listed under reactor plant equipment, radwaste system, turbine plant equipment, turbine generators, condensing systems, feed-heating system, other equipment, and main heat transfer system. This material is banned under US and EU regulations, and fiberglass-based insulation is primarily used today, so we omit.</t>
  </si>
  <si>
    <t>Valero et al., 2018. Authors cite another Valero et al., 2018 paper that in practice does not appear to provide or justify this value. This will be an alloy component of steels, so we omit here to avoid double-counting.</t>
  </si>
  <si>
    <t>Moss et al., 2011 - cited source is Anigstein et al (2001), Potential recycling of scrap metal from nuclear facilities. This gives molybdenum as alloy component of some steels, which we have treated elsewhere. So we omit molybdenum here to avoid double-counting.</t>
  </si>
  <si>
    <t>Bryan and Dudley 1974 - assumed to be 0.5% of carbon steel. We have treated carbon steel elsewhere. So we omit molybdenum here to avoid double-counting.</t>
  </si>
  <si>
    <t>Bryan and Dudley 1974 - assumed to be 19% of stainless steel and 15.8% of Inconel. We have treated steel elsewhere. So we omit chromium here to avoid double-counting.</t>
  </si>
  <si>
    <t>Bryan and Dudley 1974 - assumed to be almost entirely (&gt;99.7%) in steel, Inconel, and bronze alloy components. We omit here to avoid double-counting.</t>
  </si>
  <si>
    <t>Niobium</t>
  </si>
  <si>
    <t>Moss et al., 2011 - Assumed a nominal 2t for miscellaneous specialist alloy steel applications. We also adopt this assumption.</t>
  </si>
  <si>
    <t>Vanadium</t>
  </si>
  <si>
    <t>Moss et al., 2011 - V content 0.1-0.5% typically in turbine rotors and similar low alloy steels. Authors assume 0.6 tons/GW. This will fall under our cutoff threshold.</t>
  </si>
  <si>
    <t>Titanium</t>
  </si>
  <si>
    <t>Moss et al., 2011 - Limited use of Ni-based superalloys. 0.75% content of 409 s/steel, used in steam generators. This will fall under our cutoff threshold.</t>
  </si>
  <si>
    <t>Cobalt, Zinc</t>
  </si>
  <si>
    <t>Moss et al., 2011 project no use of cobalt-containing supperalloys. No mention of zinc either.</t>
  </si>
  <si>
    <t>excluding anything below 2 ton/GW</t>
  </si>
  <si>
    <t>tons/GW, taking highest sourced estimate for each type</t>
  </si>
  <si>
    <t>sum of steel</t>
  </si>
  <si>
    <t>sum of concrete</t>
  </si>
  <si>
    <t>aluminum</t>
  </si>
  <si>
    <t>chromium</t>
  </si>
  <si>
    <t>copper</t>
  </si>
  <si>
    <t>graphite</t>
  </si>
  <si>
    <t>iron</t>
  </si>
  <si>
    <t>lead</t>
  </si>
  <si>
    <t>manganese</t>
  </si>
  <si>
    <t>molybdenum</t>
  </si>
  <si>
    <t>nickel</t>
  </si>
  <si>
    <t>niobium</t>
  </si>
  <si>
    <t>silver</t>
  </si>
  <si>
    <t>tin</t>
  </si>
  <si>
    <t>tungsten</t>
  </si>
  <si>
    <t>Figure 2.10 and thereafter</t>
  </si>
  <si>
    <t>tons concrete per GW (2.75 tons mass per cubic meter)</t>
  </si>
  <si>
    <t>tons steel per GW</t>
  </si>
  <si>
    <t>BWRX-300</t>
  </si>
  <si>
    <t>Need to add: reactor pressure vessel, equipment materials, cluster control assemblies, copper, lead, aluminum, tungsten, niobium, vanadium, titanium, graphite</t>
  </si>
  <si>
    <t>Status Report – BWRX-300 (GE Hitachi and Hitachi GE Nuclear Energy), 2019</t>
  </si>
  <si>
    <t>https://aris.iaea.org/PDF/BWRX-300_2020.pdf</t>
  </si>
  <si>
    <t>Pressure vessel mass</t>
  </si>
  <si>
    <t>BWRX-300 reactor pressure vessel mass</t>
  </si>
  <si>
    <t>650 metric tons with pressure vessel, self-propelled modularized transports, rigging, and cribbing.</t>
  </si>
  <si>
    <t>https://www.gevernova.com/content/dam/gepower-new/global/en_US/images/gas-new-site/en/bwrx-300/005N9751_Rev_BWRX-300_General_Description.pdf</t>
  </si>
  <si>
    <t>this is lighter than the EPR's pressure vessel but heavier than the AP-1000 pressure vessel. BWRX-300 pressure vessel is rather tall, almost as tall as EPR's pressure vessel, but is smaller in diameter</t>
  </si>
  <si>
    <t>Inclusion and exclusion of equipment-related steel and concrete presented in Peterson et al., 2005 for conventional large reactors</t>
  </si>
  <si>
    <t xml:space="preserve">Metal And Concrete Inputs For Several Nuclear Power Plants		</t>
  </si>
  <si>
    <t>green = we assume scaled values from a large conventional reactor. yellow = we assume modified values. red = we exclude, assuming that this equipment does not apply</t>
  </si>
  <si>
    <t>GE-Hitachi BWRX-300</t>
  </si>
  <si>
    <t>Turbine generators</t>
  </si>
  <si>
    <t>Heat rejection system</t>
  </si>
  <si>
    <t>Comms equipment</t>
  </si>
  <si>
    <t>Feed heating systems</t>
  </si>
  <si>
    <t>Fuel handling system</t>
  </si>
  <si>
    <t>Structures and enclosure</t>
  </si>
  <si>
    <t>Figure source:</t>
  </si>
  <si>
    <t>Passive cooling ability doesn't mean there isn't some active cooling safeguard redundancy, I assume...</t>
  </si>
  <si>
    <t>should probably scale the cooling towers assuming forced draft</t>
  </si>
  <si>
    <t>Still onsite staff and facilities, but no dock/helipad required</t>
  </si>
  <si>
    <t>Reactor equipment, 1970s PWR</t>
  </si>
  <si>
    <t>Reactor steel assumed - BWRX-300 pressure vessel mass per GW (300MW reactor)</t>
  </si>
  <si>
    <t>Total reactor equipment, BWRX-300, final assumption</t>
  </si>
  <si>
    <t>Fraction of stainless steel in other equipment total metal</t>
  </si>
  <si>
    <t>metric tons per GW</t>
  </si>
  <si>
    <t>We add these totals to our BWRX-300 concrete and steel totals from Stewart and Shirvan, 2022</t>
  </si>
  <si>
    <t>Concrete (from Stewart and Shirvan, row 29 of this sheet)</t>
  </si>
  <si>
    <t>*all units in tons per GW</t>
  </si>
  <si>
    <t>Carbon steel (rebar and piping)</t>
  </si>
  <si>
    <t>We assume the same material intensities for cluster control assemblies as for the AP1000 and EPR, as this should scale predictably with capacity.</t>
  </si>
  <si>
    <r>
      <rPr/>
      <t xml:space="preserve">Fizaine, F. and Court, V., (2015), Renewable electricity producing technologies and metal depletion: a sensitivity analysis using the EROI, Ecological Economics, 110, 106–118, </t>
    </r>
    <r>
      <rPr>
        <color rgb="FF1155CC"/>
        <u/>
      </rPr>
      <t>https://doi.org/10.1016/j.ecolecon.2014.12.001</t>
    </r>
  </si>
  <si>
    <r>
      <rPr/>
      <t xml:space="preserve">Valero, A. et al. (2018), Global material requirements for the energy transition. An exergy flow analysis of decarbonisation pathways, Energy, 159, 1175-1184, </t>
    </r>
    <r>
      <rPr>
        <color rgb="FF1155CC"/>
        <u/>
      </rPr>
      <t>https://doi.org/10.1016/j.energy.2018.06.149</t>
    </r>
  </si>
  <si>
    <r>
      <rPr/>
      <t xml:space="preserve">Vidal, O., Goffé, B., and Arndt, N. (2013), Metals for a lowcarbon society, Nature Geoscience, 6(11), 894-896, </t>
    </r>
    <r>
      <rPr>
        <color rgb="FF1155CC"/>
        <u/>
      </rPr>
      <t>https://doi.org/10.1038/ngeo1993</t>
    </r>
  </si>
  <si>
    <r>
      <rPr/>
      <t xml:space="preserve">Moss et al. (2011), Critical Metals in Strategic Energy Technologies: Assessing Rare Metals as Supply-Chain Bottlenecks in Low-Carbon Energy Technologies, EC JRC (Joint Research Center), </t>
    </r>
    <r>
      <rPr>
        <color rgb="FF1155CC"/>
        <u/>
      </rPr>
      <t>https://doi.org/10.2790/35716</t>
    </r>
  </si>
  <si>
    <t>to-do: graphite, fuel materials, other nonferrous metals...</t>
  </si>
  <si>
    <t>The Environmental Competitiveness of Small
Modular Reactors: A Life Cycle Study</t>
  </si>
  <si>
    <t>Avoiding some duplicate use of Peterson et al., numbers for ASBWR and HTGR</t>
  </si>
  <si>
    <t>Carless, Griffin, and Fischbeck 2016</t>
  </si>
  <si>
    <t>Westinghouse SMR and AP1000, 60 year lifetime assumed</t>
  </si>
  <si>
    <t>4-Loop Standardized Nuclear Unit Power Plant
System (SNUPPS)</t>
  </si>
  <si>
    <t>https://www.sciencedirect.com/science/article/abs/pii/S0360544216310350</t>
  </si>
  <si>
    <t>Table 3</t>
  </si>
  <si>
    <t>tons concrete per GW</t>
  </si>
  <si>
    <t>tons steel per GW, all types</t>
  </si>
  <si>
    <t>tons rebar per GW</t>
  </si>
  <si>
    <t>tons other steel per GW</t>
  </si>
  <si>
    <t>Westinghouse SMR (225 MWe theorized)</t>
  </si>
  <si>
    <t>According to Carless et al., 2016 the assumed W-SMR has 89 fuel assemblies</t>
  </si>
  <si>
    <t>This implies the fuel load is 2.8x higher per unit of nameplate capacity than for the AP1000</t>
  </si>
  <si>
    <t>so based on these two sources below:</t>
  </si>
  <si>
    <t>we scale the cluster control assembly mineral requirements upwards by 2.8x</t>
  </si>
  <si>
    <t>&lt;--now above threshold for inclusion</t>
  </si>
  <si>
    <t>For steel types, we go back to Carless et al., 2016 values and adopt the same assumptions as for the AP1000 and EPR:</t>
  </si>
  <si>
    <t>Namely, we assume:</t>
  </si>
  <si>
    <t>total piping steel (12.6%)</t>
  </si>
  <si>
    <t>carbon steel pipe</t>
  </si>
  <si>
    <t>stainless steel pipe</t>
  </si>
  <si>
    <t>pressure vessel steel</t>
  </si>
  <si>
    <t>we very aggressively estimate the pressure vessel to be half the weight of the AP1000 pressure vessel</t>
  </si>
  <si>
    <t>tons other steel, minus piping and pressure vessel--assumed stainless</t>
  </si>
  <si>
    <t>total stainless steel</t>
  </si>
  <si>
    <t>total carbon steel (pipe + rebar)</t>
  </si>
  <si>
    <t>total reactor steel</t>
  </si>
  <si>
    <t>check sum</t>
  </si>
  <si>
    <t>checked scope of Carless et al., 2016 - includes containment building, pressure vessel, and steel liner but probably does not include other balance-of-plant</t>
  </si>
  <si>
    <t>Primary source of data:</t>
  </si>
  <si>
    <t>NREL REMPD</t>
  </si>
  <si>
    <t>https://apps.openei.org/REMPD/</t>
  </si>
  <si>
    <t>Based on mass-weighted composition of steel types documented in NREL REMPD:</t>
  </si>
  <si>
    <t>Assuming all steel in onshore wind farms is 97.6% iron, other alloys already accounted for</t>
  </si>
  <si>
    <t>Assuming all steel in offshore wind farms is 98.9% iron, other alloys already accounted for</t>
  </si>
  <si>
    <t>Sum, land-based wind farm (tons/MW)</t>
  </si>
  <si>
    <t>Sum, offshore wind farm (tons/MW)</t>
  </si>
  <si>
    <t>Onshore wind (t/GW)</t>
  </si>
  <si>
    <t>Offshore wind (t/GW)</t>
  </si>
  <si>
    <t>sum of iron</t>
  </si>
  <si>
    <t>boron</t>
  </si>
  <si>
    <t>cobalt</t>
  </si>
  <si>
    <t>concrete</t>
  </si>
  <si>
    <t>sum of all rare earths</t>
  </si>
  <si>
    <t>gallium</t>
  </si>
  <si>
    <t>lithium</t>
  </si>
  <si>
    <t>titanium</t>
  </si>
  <si>
    <t>vanadium</t>
  </si>
  <si>
    <t>zinc</t>
  </si>
  <si>
    <t xml:space="preserve">Based on mass-weighted composition of steel types documented in NREL REMPD: </t>
  </si>
  <si>
    <t>Assuming all steel in solar farms is 98.7% iron, other alloys already accounted for</t>
  </si>
  <si>
    <t>c-Si UPV farm (tons/MW)</t>
  </si>
  <si>
    <t>c-Si UPV farm (tons/GW)</t>
  </si>
  <si>
    <t>Notes ("NREL" = NREL REMPD)</t>
  </si>
  <si>
    <t>compared BNEF, NREL and selected NREL. Values are comparable with NREL higher, but BNEF suggests future plants may require longer foundation poles/screws</t>
  </si>
  <si>
    <t>compared BNEF, NREL and selected NREL as the lower number that includes whole-of-plant scope</t>
  </si>
  <si>
    <t>NREL (entirely from remaining SBOS and transformers, none listed under racking or inverters), divided further by 2 to be maximally conservative</t>
  </si>
  <si>
    <t>modules: NREL, IEA PVPS
cabling: compared BNEF, NREL and selected BNEF
racking, transformer, inverter, other SBOS: NREL</t>
  </si>
  <si>
    <t>sum of rare earths</t>
  </si>
  <si>
    <t>glass and glass reinforced plastic?</t>
  </si>
  <si>
    <t>gold</t>
  </si>
  <si>
    <t>sum of lead</t>
  </si>
  <si>
    <t>magnesium</t>
  </si>
  <si>
    <t>palladium</t>
  </si>
  <si>
    <t>silicon</t>
  </si>
  <si>
    <t>ITRPV</t>
  </si>
  <si>
    <t>Jenny Chase (BNEF) 2023; ITRPV</t>
  </si>
  <si>
    <t>solar glass</t>
  </si>
  <si>
    <t>Trina Solar, Green Rhino Energy</t>
  </si>
  <si>
    <t>Sources:</t>
  </si>
  <si>
    <t>Green Rhino Energy</t>
  </si>
  <si>
    <t>Green Rhino Energy, "Solar Glass &amp; Mirrors"</t>
  </si>
  <si>
    <t>https://www.greenrhinoenergy.com/solar/technologies/solar_glass.php</t>
  </si>
  <si>
    <t>From this source, we assume density of glass is 2.5kg/m2 per 1mm width.</t>
  </si>
  <si>
    <t>Trina Solar</t>
  </si>
  <si>
    <t>Trina Solar, "Vertex N N-type i-TOPCon bifacial dual glass Monocrystalline module"</t>
  </si>
  <si>
    <t>https://static.trinasolar.com/sites/default/files/DT-M-0042%20D%20Datasheet_Vertex_NEG21C.20_EN_2023_C_web.pdf</t>
  </si>
  <si>
    <t>From this source, we assume a module with 225W capacity per square meter. While this module is a bifacial module with 2mm front glass and 2mm back glass, we conservatively assume our model monofacial module can be produced with 2mm front glass only.</t>
  </si>
  <si>
    <t>BNEF</t>
  </si>
  <si>
    <t>BloombergNEF. “Aluminum, Copper Use to Shrink in Future Wind and Solar Farms,” February 9, 2023. https://about.bnef.com/blog/aluminum-copper-use-to-shrink-in-future-wind-and-solar-farms/.</t>
  </si>
  <si>
    <t>https://about.bnef.com/blog/aluminum-copper-use-to-shrink-in-future-wind-and-solar-farms/</t>
  </si>
  <si>
    <t>International Technology Roadmap for Photovoltaic (ITRPV) 2022 Results. 14th Edition, April 2023.</t>
  </si>
  <si>
    <t>https://www.vdma.org/international-technology-roadmap-photovoltaic</t>
  </si>
  <si>
    <t>IEA PVPS</t>
  </si>
  <si>
    <t>IEA PVPS Task 12 Life Cycle Inventories and Life Cycle Assessments of Photovoltaic Systems</t>
  </si>
  <si>
    <t>https://iea-pvps.org/key-topics/life-cycle-inventories-and-life-cycle-assessments-of-photovoltaic-systems/</t>
  </si>
  <si>
    <t>Operational assumptions:</t>
  </si>
  <si>
    <t>25 year lifetime, cycles 1x daily</t>
  </si>
  <si>
    <t>Facility size:</t>
  </si>
  <si>
    <t>Based on examples below, assume a relatively conservative 2GWh, 500MW storage facility accompanies a 1GW wind or solar farm</t>
  </si>
  <si>
    <t>Lifetime stored electricity contribution to grid (GWh):</t>
  </si>
  <si>
    <t>https://www.pv-magazine.com/2024/01/22/largest-us-solar-storage-project-goes-online/</t>
  </si>
  <si>
    <t>Edwards &amp; Sanborn Solar + Energy Storage project</t>
  </si>
  <si>
    <t>Storage capacity in 60kWh car battery pack equivalents</t>
  </si>
  <si>
    <t>Storage capacity in 60kWh car battery pack equivalents per GW (DC)</t>
  </si>
  <si>
    <t>875 MWdc solar project (First solar modules) w 3 GWh of energy storage</t>
  </si>
  <si>
    <t>scaling this plant to the amount of storage to accompany a theoretical 1 GW of solar capacity yields 3.429 GWh</t>
  </si>
  <si>
    <t>Assuming 4-hour duration, this is 0.857 MW of power capacity</t>
  </si>
  <si>
    <t>35.0125, -118.1193</t>
  </si>
  <si>
    <t>https://www.renewableenergyworld.com/solar/utility-scale/intersect-power-turns-on-massive-solar-storage-project-in-california/#gref</t>
  </si>
  <si>
    <t>Oberon Solar + Storage Project</t>
  </si>
  <si>
    <t>679 MWp solar project (First Solar modules) w 1 GWh/250MW of co-located Tesla battery storage</t>
  </si>
  <si>
    <t>LiUNA Local 1184, IBEW Local 440</t>
  </si>
  <si>
    <t>scaling to the amount of storage to accompany 1 GW of solar capacity yields 1.473 GWh</t>
  </si>
  <si>
    <t>https://www.publicpower.org/periodical/article/california-ccas-announce-commissioning-new-large-scale-solar-and-energy-storage-project</t>
  </si>
  <si>
    <t>Yellow Pine Solar 1</t>
  </si>
  <si>
    <t>125MW (AC/DC?) 65MW of four-hour battery storage (260 MWh)</t>
  </si>
  <si>
    <t>Assume 125 MW AC, as some court documents suggest. Assume DC:AC ratio of 1.3</t>
  </si>
  <si>
    <t>162 MW DC</t>
  </si>
  <si>
    <t>scaling this plant to the amount of storage to accompany a theoretical 1 GW of solar capacity yields 1.605 GWh</t>
  </si>
  <si>
    <t xml:space="preserve">36.0661, -115.7751 </t>
  </si>
  <si>
    <t>https://www.utilitydive.com/news/longroad-battery-energy-storage-system-solar-arizona-public-service-aps/640625/</t>
  </si>
  <si>
    <t>Longroad Energy Sun Streams 3</t>
  </si>
  <si>
    <t>285 MWdc + 215MW(AC) / 860 MWh storage system</t>
  </si>
  <si>
    <t>scaling this plant to the amount of storage to accompany a theoretical 1 GW of solar capacity yields 3.017 GWh</t>
  </si>
  <si>
    <t>Average</t>
  </si>
  <si>
    <t>33.311061, -112.831827</t>
  </si>
  <si>
    <t>Transport &amp; Environment (2021), From dirty oil to clean batteries, Table 5 and Figure 17</t>
  </si>
  <si>
    <t>https://www.transportenvironment.org/wp-content/uploads/2021/07/2021_02_Battery_raw_materials_report_final.pdf</t>
  </si>
  <si>
    <t>kg of minerals required for a 60 kWh lithium-ion battery pack in an electric vehicle</t>
  </si>
  <si>
    <t>(kg)</t>
  </si>
  <si>
    <t>NMC523</t>
  </si>
  <si>
    <t>NMC622</t>
  </si>
  <si>
    <t>NMC811</t>
  </si>
  <si>
    <t>NCA</t>
  </si>
  <si>
    <t>LFP</t>
  </si>
  <si>
    <t>kg/kWh</t>
  </si>
  <si>
    <t>Lithium</t>
  </si>
  <si>
    <t>Cobalt</t>
  </si>
  <si>
    <t>Graphite</t>
  </si>
  <si>
    <t>Copper</t>
  </si>
  <si>
    <t>Phosphate</t>
  </si>
  <si>
    <t>Battery mass sanity check: we are missing a lot of battery pack weight, likely 10% cell mass in electrolyte not accounted for, binder, separator, and battery pack casing, plus plastics. We are omitting balance-of-system.</t>
  </si>
  <si>
    <t>https://www.batterydesign.net/cell-to-pack-mass-ratio/</t>
  </si>
  <si>
    <t>Figure 17</t>
  </si>
  <si>
    <t>https://ctsbattery.en.made-in-china.com/product/GZNaxSHjZicr/China-50kwh-60kwh-LFP-Battery-Pack-for-EV-E-Truck-E-Bus-Vans-Construction-Logistic-Car.html</t>
  </si>
  <si>
    <t>NMC111</t>
  </si>
  <si>
    <t>NMC9.5.5</t>
  </si>
  <si>
    <t>NCA+</t>
  </si>
  <si>
    <t>Steel</t>
  </si>
  <si>
    <t>Total mass, 60 kWh</t>
  </si>
  <si>
    <t>Total values</t>
  </si>
  <si>
    <t>tons, for a 2GWh (500MW) facility accompanying a 1GW solar/wind farm</t>
  </si>
  <si>
    <t>kg, for the same facility, per GWh contribution to grid</t>
  </si>
  <si>
    <t>https://dakotalithium.b-cdn.net/wp-content/uploads/2023/08/LiFePO4-Safety-Data-Sheet-Lithium-Iron-Phosphate-Batteries.pdf</t>
  </si>
  <si>
    <t>Total materials</t>
  </si>
  <si>
    <t>What steel type to assume?</t>
  </si>
  <si>
    <t>https://www.ssab.com/en/brands-and-products/docol/recommended-ahss-steels-for-car-applications</t>
  </si>
  <si>
    <t>This is automotive, prioritizing strength and lightweighting</t>
  </si>
  <si>
    <t>iron mass %</t>
  </si>
  <si>
    <t>Let's assume standard stainless</t>
  </si>
  <si>
    <t>Stainless Steel</t>
  </si>
  <si>
    <t>Element</t>
  </si>
  <si>
    <t>Composition %</t>
  </si>
  <si>
    <t>tons, in steel</t>
  </si>
  <si>
    <t>UNS S30400 / SAE 304</t>
  </si>
  <si>
    <t>Fe</t>
  </si>
  <si>
    <t>https://bssa.org.uk/bssa_articles/chemical-compositions-of-aisi-astm-asme-and-uns-austenitic-stainless-steel-grades/</t>
  </si>
  <si>
    <t>Ni</t>
  </si>
  <si>
    <t>https://www.theworldmaterial.com/type-304-grade-stainless-steel/</t>
  </si>
  <si>
    <t>Cr</t>
  </si>
  <si>
    <t>Mn</t>
  </si>
  <si>
    <t>FINAL VALUES</t>
  </si>
  <si>
    <t>(battery cells only, no pack materials or balance of system materials)</t>
  </si>
  <si>
    <t>Comparison with other sources:</t>
  </si>
  <si>
    <t>2024 numbers in Nijnens et al., 2023</t>
  </si>
  <si>
    <t>Li</t>
  </si>
  <si>
    <t>Al</t>
  </si>
  <si>
    <t>Cu</t>
  </si>
  <si>
    <t>https://www.cell.com/joule/pdf/S2542-4351(23)00411-7.pdf</t>
  </si>
  <si>
    <t>Deetman et al. Projected material requirements for the global electricity infrastructure: generation, transmission and storage. Resources, Conservation and Recycling 164 (2021): 105200.</t>
  </si>
  <si>
    <t>% weight</t>
  </si>
  <si>
    <t>steel</t>
  </si>
  <si>
    <t>aluminium</t>
  </si>
  <si>
    <t>Material</t>
  </si>
  <si>
    <t>Nassar 2022, 2023 RMRs</t>
  </si>
  <si>
    <t>Estimated RMR</t>
  </si>
  <si>
    <t>kg / GWh</t>
  </si>
  <si>
    <t>% Byproduct</t>
  </si>
  <si>
    <t>Byproduct Details (Nassar, 2015; or assumed)</t>
  </si>
  <si>
    <t>SOURCES</t>
  </si>
  <si>
    <t xml:space="preserve">aluminum </t>
  </si>
  <si>
    <t>is 2015 USGS</t>
  </si>
  <si>
    <t>https://www.science.org/doi/10.1126/sciadv.1400180</t>
  </si>
  <si>
    <t>Byproduct %s</t>
  </si>
  <si>
    <t>Salt/soda ash (0.2%), Potash/Li (0.1%)</t>
  </si>
  <si>
    <t>is 2022 USGS</t>
  </si>
  <si>
    <t>https://pubs.acs.org/doi/10.1021/acs.est.1c07875#</t>
  </si>
  <si>
    <t>Non REE RMRs</t>
  </si>
  <si>
    <t>Pt (2%)</t>
  </si>
  <si>
    <t>is 2023 USGS</t>
  </si>
  <si>
    <t>https://www.sciencedirect.com/science/article/pii/S0959652623011162</t>
  </si>
  <si>
    <t>REE RMRs</t>
  </si>
  <si>
    <t>Ni (50%), Cu (35%), Pt, Pd, As</t>
  </si>
  <si>
    <t>Ni (5%), Au (2%), Pb/Zn (2%), Ag (1%), Pt (1%)</t>
  </si>
  <si>
    <t>dysprosium (REE)</t>
  </si>
  <si>
    <t>Y (61%), Sm (16%), Ce (12%), La (6%), Fe (4%), Ti (1%), Sn (1%)</t>
  </si>
  <si>
    <t>gadolinium (REE)</t>
  </si>
  <si>
    <t>Y (38%), Fe (21%), Sm (16%), Ce (14%), La (10%), Ti (1%), Sn (1%)</t>
  </si>
  <si>
    <t>assumed no byproducts</t>
  </si>
  <si>
    <t>Ti, V, Cu</t>
  </si>
  <si>
    <t xml:space="preserve">Mixed Pb-Zn ores accounted for roughly 70% of Pb production, while 20% was recovered from Pb-dominant ores. The remaining 10% of Pb production was recovered as a companion of Zn, Cu-Zn, and other deposits </t>
  </si>
  <si>
    <t>Potash (K)</t>
  </si>
  <si>
    <t>Cu (46%)</t>
  </si>
  <si>
    <t>neodymium (REE)</t>
  </si>
  <si>
    <t>Fe (57%), Ce (18%), Sm (9%), La (7%), Y (7%), Ti (2%), Sn (1%)</t>
  </si>
  <si>
    <t>Ta, Sn</t>
  </si>
  <si>
    <t>phosphate</t>
  </si>
  <si>
    <t>praseodymium (REE)</t>
  </si>
  <si>
    <t>Fe (61%), Ce (17%), Sm (8%), Y (7%), La (6%), Ti (2%), Sn (1%)</t>
  </si>
  <si>
    <t>Pb/Zn (36.5%), Cu (23.5%), Au (10.4%), other (0.5%)</t>
  </si>
  <si>
    <t>terbium (REE)</t>
  </si>
  <si>
    <t>Y (44%), Fe (19%), Sm (16%), Ce (13%), La (7%), Ti (1%), Sn (1%)</t>
  </si>
  <si>
    <t>Zn (2%), Ta (0.4%), Cu (0.1%)</t>
  </si>
  <si>
    <t>Sn (major, Mo (minor)</t>
  </si>
  <si>
    <t>uranium</t>
  </si>
  <si>
    <t>11,343 kgs earth / GWh</t>
  </si>
  <si>
    <t xml:space="preserve">Cu (8%), Au (2%) </t>
  </si>
  <si>
    <t>yttrium (REE)</t>
  </si>
  <si>
    <t xml:space="preserve">Sm (13%), Ce (9%), La (5%), Fe (3%), Ti (1%), Sn (1%) </t>
  </si>
  <si>
    <t>Cu (4%), Ag (3%), Au (2%), Pb (1%)</t>
  </si>
  <si>
    <t>aggregate (sand + gravel)</t>
  </si>
  <si>
    <t>CaO (from limestone)</t>
  </si>
  <si>
    <t>CaSO4 (from gypsum)</t>
  </si>
  <si>
    <t>coal</t>
  </si>
  <si>
    <t>1,179,360 kg earth / GWh</t>
  </si>
  <si>
    <t>Reactor Steel</t>
  </si>
  <si>
    <t>Rebar Steel</t>
  </si>
  <si>
    <t>Glass</t>
  </si>
  <si>
    <t>DERIVATIVE MATERIALS</t>
  </si>
  <si>
    <t>***for steels, any % that was disregarded was added to the Fe content %. For glass and concrete, any % that was disregarded was treated as 0</t>
  </si>
  <si>
    <t>Adjusted Decimal</t>
  </si>
  <si>
    <t xml:space="preserve">Weighted RMR </t>
  </si>
  <si>
    <t>Density = 7.8 g/cm³</t>
  </si>
  <si>
    <t>ASTM A508 Grade 5</t>
  </si>
  <si>
    <t>https://matmatch.com/materials/minfm54887-astm-a508-grade-5-class-1-quenched-and-tempered</t>
  </si>
  <si>
    <t>https://www.ncbi.nlm.nih.gov/pmc/articles/PMC9786578/</t>
  </si>
  <si>
    <t xml:space="preserve">Ni </t>
  </si>
  <si>
    <t>Mo</t>
  </si>
  <si>
    <t>Si</t>
  </si>
  <si>
    <t>C</t>
  </si>
  <si>
    <t>disregarding as minor constituent</t>
  </si>
  <si>
    <t>Total RMR =</t>
  </si>
  <si>
    <t>Density = 7.93 g/cm³</t>
  </si>
  <si>
    <t>https://www.amardeepsteel.com/blog/density-of-stainless-steel-304.html</t>
  </si>
  <si>
    <t>S</t>
  </si>
  <si>
    <t>N</t>
  </si>
  <si>
    <t>P</t>
  </si>
  <si>
    <t>Carbon Steel Rebar</t>
  </si>
  <si>
    <t>Density = 7.87 g/cm³</t>
  </si>
  <si>
    <t xml:space="preserve">UNS G10200 / SAE 1020 </t>
  </si>
  <si>
    <t>https://www.matweb.com/search/DataSheet.aspx?MatGUID=10b74ebc27344380ab16b1b69f1cffbb</t>
  </si>
  <si>
    <t>https://www.nrc.gov/docs/ML0708/ML070850183.pdf#page=28</t>
  </si>
  <si>
    <t>https://www.theworldmaterial.com/astm-sae-aisi-1020-carbon-steel/</t>
  </si>
  <si>
    <t>Type I Concrete, 4000 psi</t>
  </si>
  <si>
    <t>Concrete Components</t>
  </si>
  <si>
    <t>2.75 metric tons/m^3</t>
  </si>
  <si>
    <t>aggregate</t>
  </si>
  <si>
    <t>1 cement : 2 sand : 3 gravel</t>
  </si>
  <si>
    <t>CaO</t>
  </si>
  <si>
    <t>1 cement : 5 aggregate</t>
  </si>
  <si>
    <t>SiO2</t>
  </si>
  <si>
    <t>https://gambrick.com/the-best-concrete-mix-ratio/</t>
  </si>
  <si>
    <t>Al2O3</t>
  </si>
  <si>
    <t>https://www.everything-about-concrete.com/concrete-mix-ratios-for-3000-3500-4000-psi-concrete.html</t>
  </si>
  <si>
    <t>Fe2O3</t>
  </si>
  <si>
    <t>https://civilengineersforum.com/concrete-mix-ratio/</t>
  </si>
  <si>
    <t>MgO</t>
  </si>
  <si>
    <t>https://www.rtsconstructioncompany.com/blog/concrete-mixing-ratios-a-guide</t>
  </si>
  <si>
    <t>CaSO4</t>
  </si>
  <si>
    <t>https://www.howden.com/en-us/articles/cement/how-is-cement-made</t>
  </si>
  <si>
    <t>SO3</t>
  </si>
  <si>
    <t>disregarding because S is either brine or solution sourced</t>
  </si>
  <si>
    <t>https://civiltoday.com/civil-engineering-materials/cement/10-cement-ingredients-with-functions</t>
  </si>
  <si>
    <t>Na2O/K2O</t>
  </si>
  <si>
    <t>disregarding because Na is brine-sourced</t>
  </si>
  <si>
    <t>https://www.aboutcivil.org/composition-portland-cement</t>
  </si>
  <si>
    <t xml:space="preserve">Total RMR = </t>
  </si>
  <si>
    <t>https://theconstructor.org/concrete/ordinary-portland-cement/23181/</t>
  </si>
  <si>
    <t>https://www.99acres.com/articles/portland-cement.html</t>
  </si>
  <si>
    <t>https://us.ukessays.com/essays/biology/the-high-density-concrete-biology-essay.php</t>
  </si>
  <si>
    <t>https://www.theconstructioncivil.org/high-density-concrete/</t>
  </si>
  <si>
    <t>https://precast.org/2013/04/weighing-in-on-high-density-concrete/</t>
  </si>
  <si>
    <t>Solar Glass (Soda Lime)</t>
  </si>
  <si>
    <t>Component</t>
  </si>
  <si>
    <t>Solar glass is assumed to be soda lime glass</t>
  </si>
  <si>
    <t>https://www.greenrhinoenergy.com/solar/downloads/AGC_Sunmax-LR.pdf</t>
  </si>
  <si>
    <t>Na2O</t>
  </si>
  <si>
    <t>https://www.greenrhinoenergy.com/solar/downloads/AGC_Solite-LR.pdf</t>
  </si>
  <si>
    <t>https://www.ncbi.nlm.nih.gov/pmc/articles/PMC10245155/</t>
  </si>
  <si>
    <t>https://glassforeurope.com/wp-content/uploads/2018/04/The-status-of-Flat-Soda-Lime-Silicate-Glass-and-its-raw-materials-under-REACH.pdf</t>
  </si>
  <si>
    <t>https://www.advancedoptics.com/SodaLimeGlassTechnicalDataSheet.pdf</t>
  </si>
  <si>
    <t>Trace Impurities (e.g., Fe)</t>
  </si>
</sst>
</file>

<file path=xl/styles.xml><?xml version="1.0" encoding="utf-8"?>
<styleSheet xmlns="http://schemas.openxmlformats.org/spreadsheetml/2006/main" xmlns:x14ac="http://schemas.microsoft.com/office/spreadsheetml/2009/9/ac" xmlns:mc="http://schemas.openxmlformats.org/markup-compatibility/2006">
  <numFmts count="8">
    <numFmt numFmtId="164" formatCode="0.0000"/>
    <numFmt numFmtId="165" formatCode="0.000"/>
    <numFmt numFmtId="166" formatCode="0.0"/>
    <numFmt numFmtId="167" formatCode="#,##0.0"/>
    <numFmt numFmtId="168" formatCode="#,##0.000"/>
    <numFmt numFmtId="169" formatCode="0.00000"/>
    <numFmt numFmtId="170" formatCode="#,##0.00000"/>
    <numFmt numFmtId="171" formatCode="#,##0.00000000"/>
  </numFmts>
  <fonts count="26">
    <font>
      <sz val="10.0"/>
      <color rgb="FF000000"/>
      <name val="Arial"/>
      <scheme val="minor"/>
    </font>
    <font>
      <color theme="1"/>
      <name val="Arial"/>
      <scheme val="minor"/>
    </font>
    <font>
      <u/>
      <color rgb="FF0000FF"/>
    </font>
    <font>
      <u/>
      <color rgb="FF0000FF"/>
    </font>
    <font>
      <color rgb="FF000000"/>
      <name val="Arial"/>
    </font>
    <font>
      <sz val="12.0"/>
      <color rgb="FF000000"/>
      <name val="Arial"/>
    </font>
    <font>
      <u/>
      <color rgb="FF0000FF"/>
      <name val="Arial"/>
    </font>
    <font>
      <color rgb="FF000000"/>
      <name val="Arial"/>
      <scheme val="minor"/>
    </font>
    <font>
      <b/>
      <color theme="1"/>
      <name val="Arial"/>
      <scheme val="minor"/>
    </font>
    <font>
      <i/>
      <color theme="1"/>
      <name val="Arial"/>
      <scheme val="minor"/>
    </font>
    <font>
      <u/>
      <sz val="11.0"/>
      <color rgb="FF1F1F1F"/>
      <name val="Arial"/>
    </font>
    <font>
      <u/>
      <color rgb="FF0000FF"/>
    </font>
    <font>
      <u/>
      <color rgb="FF0000FF"/>
    </font>
    <font>
      <sz val="12.0"/>
      <color rgb="FF000000"/>
      <name val="Calibri"/>
    </font>
    <font>
      <u/>
      <sz val="12.0"/>
      <color rgb="FF000000"/>
      <name val="Calibri"/>
    </font>
    <font>
      <b/>
      <u/>
      <color rgb="FF0000FF"/>
    </font>
    <font>
      <u/>
      <color rgb="FF0000FF"/>
    </font>
    <font>
      <u/>
      <color rgb="FF0000FF"/>
    </font>
    <font>
      <sz val="11.0"/>
      <color rgb="FF000000"/>
      <name val="Calibri"/>
    </font>
    <font>
      <u/>
      <color rgb="FF0000FF"/>
    </font>
    <font>
      <u/>
      <color rgb="FF0000FF"/>
    </font>
    <font>
      <u/>
      <color rgb="FF0000FF"/>
    </font>
    <font>
      <u/>
      <color rgb="FF0000FF"/>
    </font>
    <font>
      <u/>
      <color rgb="FF0000FF"/>
    </font>
    <font>
      <u/>
      <color rgb="FF0000FF"/>
    </font>
    <font>
      <u/>
      <color rgb="FF0000FF"/>
    </font>
  </fonts>
  <fills count="10">
    <fill>
      <patternFill patternType="none"/>
    </fill>
    <fill>
      <patternFill patternType="lightGray"/>
    </fill>
    <fill>
      <patternFill patternType="solid">
        <fgColor rgb="FFF4CCCC"/>
        <bgColor rgb="FFF4CCCC"/>
      </patternFill>
    </fill>
    <fill>
      <patternFill patternType="solid">
        <fgColor rgb="FFFFF2CC"/>
        <bgColor rgb="FFFFF2CC"/>
      </patternFill>
    </fill>
    <fill>
      <patternFill patternType="solid">
        <fgColor rgb="FFD9EAD3"/>
        <bgColor rgb="FFD9EAD3"/>
      </patternFill>
    </fill>
    <fill>
      <patternFill patternType="solid">
        <fgColor rgb="FFCCCCCC"/>
        <bgColor rgb="FFCCCCCC"/>
      </patternFill>
    </fill>
    <fill>
      <patternFill patternType="solid">
        <fgColor rgb="FFFCE5CD"/>
        <bgColor rgb="FFFCE5CD"/>
      </patternFill>
    </fill>
    <fill>
      <patternFill patternType="solid">
        <fgColor rgb="FFC9DAF8"/>
        <bgColor rgb="FFC9DAF8"/>
      </patternFill>
    </fill>
    <fill>
      <patternFill patternType="solid">
        <fgColor rgb="FFD9D9D9"/>
        <bgColor rgb="FFD9D9D9"/>
      </patternFill>
    </fill>
    <fill>
      <patternFill patternType="solid">
        <fgColor rgb="FFCFE2F3"/>
        <bgColor rgb="FFCFE2F3"/>
      </patternFill>
    </fill>
  </fills>
  <borders count="1">
    <border/>
  </borders>
  <cellStyleXfs count="1">
    <xf borderId="0" fillId="0" fontId="0" numFmtId="0" applyAlignment="1" applyFont="1"/>
  </cellStyleXfs>
  <cellXfs count="156">
    <xf borderId="0" fillId="0" fontId="0" numFmtId="0" xfId="0" applyAlignment="1" applyFont="1">
      <alignment readingOrder="0" shrinkToFit="0" vertical="bottom" wrapText="0"/>
    </xf>
    <xf borderId="0" fillId="2" fontId="1" numFmtId="0" xfId="0" applyAlignment="1" applyFill="1" applyFont="1">
      <alignment readingOrder="0"/>
    </xf>
    <xf borderId="0" fillId="3" fontId="1" numFmtId="0" xfId="0" applyAlignment="1" applyFill="1" applyFont="1">
      <alignment readingOrder="0"/>
    </xf>
    <xf borderId="0" fillId="4" fontId="1" numFmtId="0" xfId="0" applyAlignment="1" applyFill="1" applyFont="1">
      <alignment readingOrder="0"/>
    </xf>
    <xf borderId="0" fillId="0" fontId="1" numFmtId="0" xfId="0" applyAlignment="1" applyFont="1">
      <alignment readingOrder="0"/>
    </xf>
    <xf borderId="0" fillId="5" fontId="1" numFmtId="0" xfId="0" applyAlignment="1" applyFill="1" applyFont="1">
      <alignment readingOrder="0"/>
    </xf>
    <xf borderId="0" fillId="5" fontId="1" numFmtId="0" xfId="0" applyFont="1"/>
    <xf borderId="0" fillId="5" fontId="2" numFmtId="0" xfId="0" applyAlignment="1" applyFont="1">
      <alignment readingOrder="0"/>
    </xf>
    <xf borderId="0" fillId="5" fontId="3" numFmtId="0" xfId="0" applyAlignment="1" applyFont="1">
      <alignment readingOrder="0"/>
    </xf>
    <xf borderId="0" fillId="5" fontId="1" numFmtId="0" xfId="0" applyFont="1"/>
    <xf borderId="0" fillId="0" fontId="1" numFmtId="0" xfId="0" applyFont="1"/>
    <xf borderId="0" fillId="0" fontId="1" numFmtId="0" xfId="0" applyAlignment="1" applyFont="1">
      <alignment readingOrder="0" shrinkToFit="0" wrapText="1"/>
    </xf>
    <xf borderId="0" fillId="0" fontId="1" numFmtId="0" xfId="0" applyFont="1"/>
    <xf borderId="0" fillId="4" fontId="1" numFmtId="0" xfId="0" applyFont="1"/>
    <xf borderId="0" fillId="4" fontId="1" numFmtId="0" xfId="0" applyAlignment="1" applyFont="1">
      <alignment readingOrder="0" shrinkToFit="0" wrapText="1"/>
    </xf>
    <xf borderId="0" fillId="0" fontId="4" numFmtId="0" xfId="0" applyAlignment="1" applyFont="1">
      <alignment readingOrder="0" shrinkToFit="0" vertical="bottom" wrapText="0"/>
    </xf>
    <xf borderId="0" fillId="5" fontId="5" numFmtId="0" xfId="0" applyAlignment="1" applyFont="1">
      <alignment readingOrder="0" shrinkToFit="0" vertical="bottom" wrapText="0"/>
    </xf>
    <xf borderId="0" fillId="5" fontId="5" numFmtId="0" xfId="0" applyAlignment="1" applyFont="1">
      <alignment shrinkToFit="0" vertical="bottom" wrapText="0"/>
    </xf>
    <xf borderId="0" fillId="0" fontId="6" numFmtId="0" xfId="0" applyAlignment="1" applyFont="1">
      <alignment readingOrder="0" shrinkToFit="0" vertical="bottom" wrapText="0"/>
    </xf>
    <xf borderId="0" fillId="0" fontId="4" numFmtId="0" xfId="0" applyAlignment="1" applyFont="1">
      <alignment shrinkToFit="0" vertical="bottom" wrapText="0"/>
    </xf>
    <xf borderId="0" fillId="0" fontId="4" numFmtId="0" xfId="0" applyAlignment="1" applyFont="1">
      <alignment readingOrder="0" shrinkToFit="0" vertical="bottom" wrapText="0"/>
    </xf>
    <xf borderId="0" fillId="0" fontId="7" numFmtId="0" xfId="0" applyAlignment="1" applyFont="1">
      <alignment readingOrder="0" shrinkToFit="0" vertical="bottom" wrapText="0"/>
    </xf>
    <xf borderId="0" fillId="0" fontId="8" numFmtId="0" xfId="0" applyAlignment="1" applyFont="1">
      <alignment readingOrder="0"/>
    </xf>
    <xf borderId="0" fillId="0" fontId="8" numFmtId="0" xfId="0" applyFont="1"/>
    <xf borderId="0" fillId="0" fontId="1" numFmtId="0" xfId="0" applyAlignment="1" applyFont="1">
      <alignment readingOrder="0"/>
    </xf>
    <xf borderId="0" fillId="0" fontId="1" numFmtId="0" xfId="0" applyAlignment="1" applyFont="1">
      <alignment horizontal="center" readingOrder="0"/>
    </xf>
    <xf borderId="0" fillId="4" fontId="1" numFmtId="0" xfId="0" applyAlignment="1" applyFont="1">
      <alignment horizontal="center" readingOrder="0"/>
    </xf>
    <xf borderId="0" fillId="0" fontId="8" numFmtId="0" xfId="0" applyAlignment="1" applyFont="1">
      <alignment readingOrder="0" shrinkToFit="0" wrapText="0"/>
    </xf>
    <xf borderId="0" fillId="4" fontId="1" numFmtId="0" xfId="0" applyAlignment="1" applyFont="1">
      <alignment readingOrder="0" shrinkToFit="0" wrapText="0"/>
    </xf>
    <xf borderId="0" fillId="4" fontId="1" numFmtId="3" xfId="0" applyAlignment="1" applyFont="1" applyNumberFormat="1">
      <alignment readingOrder="0"/>
    </xf>
    <xf borderId="0" fillId="4" fontId="1" numFmtId="0" xfId="0" applyAlignment="1" applyFont="1">
      <alignment readingOrder="0" shrinkToFit="0" wrapText="0"/>
    </xf>
    <xf borderId="0" fillId="4" fontId="1" numFmtId="0" xfId="0" applyAlignment="1" applyFont="1">
      <alignment shrinkToFit="0" wrapText="0"/>
    </xf>
    <xf borderId="0" fillId="4" fontId="9" numFmtId="3" xfId="0" applyAlignment="1" applyFont="1" applyNumberFormat="1">
      <alignment readingOrder="0"/>
    </xf>
    <xf borderId="0" fillId="4" fontId="9" numFmtId="0" xfId="0" applyAlignment="1" applyFont="1">
      <alignment readingOrder="0"/>
    </xf>
    <xf borderId="0" fillId="5" fontId="4" numFmtId="0" xfId="0" applyAlignment="1" applyFont="1">
      <alignment horizontal="left" readingOrder="0"/>
    </xf>
    <xf borderId="0" fillId="5" fontId="10" numFmtId="0" xfId="0" applyAlignment="1" applyFont="1">
      <alignment readingOrder="0"/>
    </xf>
    <xf borderId="0" fillId="0" fontId="9" numFmtId="0" xfId="0" applyAlignment="1" applyFont="1">
      <alignment readingOrder="0"/>
    </xf>
    <xf borderId="0" fillId="6" fontId="1" numFmtId="0" xfId="0" applyAlignment="1" applyFill="1" applyFont="1">
      <alignment readingOrder="0"/>
    </xf>
    <xf borderId="0" fillId="7" fontId="1" numFmtId="0" xfId="0" applyFill="1" applyFont="1"/>
    <xf borderId="0" fillId="7" fontId="1" numFmtId="0" xfId="0" applyAlignment="1" applyFont="1">
      <alignment readingOrder="0"/>
    </xf>
    <xf borderId="0" fillId="0" fontId="11" numFmtId="0" xfId="0" applyAlignment="1" applyFont="1">
      <alignment readingOrder="0"/>
    </xf>
    <xf borderId="0" fillId="2" fontId="1" numFmtId="0" xfId="0" applyAlignment="1" applyFont="1">
      <alignment readingOrder="0" shrinkToFit="0" wrapText="1"/>
    </xf>
    <xf borderId="0" fillId="0" fontId="12" numFmtId="0" xfId="0" applyAlignment="1" applyFont="1">
      <alignment readingOrder="0"/>
    </xf>
    <xf borderId="0" fillId="0" fontId="5" numFmtId="0" xfId="0" applyAlignment="1" applyFont="1">
      <alignment readingOrder="0" shrinkToFit="0" vertical="bottom" wrapText="0"/>
    </xf>
    <xf borderId="0" fillId="0" fontId="5" numFmtId="0" xfId="0" applyAlignment="1" applyFont="1">
      <alignment shrinkToFit="0" vertical="bottom" wrapText="0"/>
    </xf>
    <xf borderId="0" fillId="7" fontId="1" numFmtId="0" xfId="0" applyFont="1"/>
    <xf borderId="0" fillId="5" fontId="8" numFmtId="0" xfId="0" applyAlignment="1" applyFont="1">
      <alignment readingOrder="0"/>
    </xf>
    <xf borderId="0" fillId="0" fontId="13" numFmtId="0" xfId="0" applyAlignment="1" applyFont="1">
      <alignment shrinkToFit="0" vertical="bottom" wrapText="0"/>
    </xf>
    <xf borderId="0" fillId="0" fontId="13" numFmtId="0" xfId="0" applyAlignment="1" applyFont="1">
      <alignment readingOrder="0" shrinkToFit="0" vertical="bottom" wrapText="0"/>
    </xf>
    <xf borderId="0" fillId="0" fontId="14" numFmtId="0" xfId="0" applyAlignment="1" applyFont="1">
      <alignment readingOrder="0" shrinkToFit="0" vertical="bottom" wrapText="0"/>
    </xf>
    <xf borderId="0" fillId="2" fontId="13" numFmtId="0" xfId="0" applyAlignment="1" applyFont="1">
      <alignment readingOrder="0" shrinkToFit="0" vertical="bottom" wrapText="0"/>
    </xf>
    <xf borderId="0" fillId="2" fontId="13" numFmtId="0" xfId="0" applyAlignment="1" applyFont="1">
      <alignment shrinkToFit="0" vertical="bottom" wrapText="0"/>
    </xf>
    <xf borderId="0" fillId="2" fontId="1" numFmtId="0" xfId="0" applyFont="1"/>
    <xf borderId="0" fillId="0" fontId="13" numFmtId="0" xfId="0" applyAlignment="1" applyFont="1">
      <alignment horizontal="right" readingOrder="0" shrinkToFit="0" vertical="bottom" wrapText="0"/>
    </xf>
    <xf borderId="0" fillId="2" fontId="13" numFmtId="0" xfId="0" applyAlignment="1" applyFont="1">
      <alignment horizontal="right" readingOrder="0" shrinkToFit="0" vertical="bottom" wrapText="0"/>
    </xf>
    <xf borderId="0" fillId="4" fontId="13" numFmtId="0" xfId="0" applyAlignment="1" applyFont="1">
      <alignment readingOrder="0" shrinkToFit="0" vertical="bottom" wrapText="1"/>
    </xf>
    <xf borderId="0" fillId="0" fontId="13" numFmtId="0" xfId="0" applyAlignment="1" applyFont="1">
      <alignment readingOrder="0" shrinkToFit="0" vertical="bottom" wrapText="1"/>
    </xf>
    <xf borderId="0" fillId="2" fontId="13" numFmtId="0" xfId="0" applyAlignment="1" applyFont="1">
      <alignment readingOrder="0" shrinkToFit="0" vertical="bottom" wrapText="1"/>
    </xf>
    <xf borderId="0" fillId="4" fontId="1" numFmtId="0" xfId="0" applyAlignment="1" applyFont="1">
      <alignment readingOrder="0"/>
    </xf>
    <xf borderId="0" fillId="0" fontId="1" numFmtId="0" xfId="0" applyAlignment="1" applyFont="1">
      <alignment readingOrder="0"/>
    </xf>
    <xf borderId="0" fillId="0" fontId="8" numFmtId="0" xfId="0" applyAlignment="1" applyFont="1">
      <alignment readingOrder="0" shrinkToFit="0" wrapText="1"/>
    </xf>
    <xf borderId="0" fillId="0" fontId="15" numFmtId="0" xfId="0" applyAlignment="1" applyFont="1">
      <alignment readingOrder="0"/>
    </xf>
    <xf borderId="0" fillId="0" fontId="8" numFmtId="1" xfId="0" applyAlignment="1" applyFont="1" applyNumberFormat="1">
      <alignment readingOrder="0"/>
    </xf>
    <xf borderId="0" fillId="0" fontId="1" numFmtId="0" xfId="0" applyAlignment="1" applyFont="1">
      <alignment readingOrder="0" shrinkToFit="0" wrapText="0"/>
    </xf>
    <xf borderId="0" fillId="0" fontId="1" numFmtId="3" xfId="0" applyAlignment="1" applyFont="1" applyNumberFormat="1">
      <alignment readingOrder="0"/>
    </xf>
    <xf borderId="0" fillId="0" fontId="1" numFmtId="164" xfId="0" applyAlignment="1" applyFont="1" applyNumberFormat="1">
      <alignment readingOrder="0"/>
    </xf>
    <xf borderId="0" fillId="0" fontId="16" numFmtId="0" xfId="0" applyAlignment="1" applyFont="1">
      <alignment readingOrder="0" shrinkToFit="0" wrapText="0"/>
    </xf>
    <xf borderId="0" fillId="0" fontId="1" numFmtId="165" xfId="0" applyAlignment="1" applyFont="1" applyNumberFormat="1">
      <alignment readingOrder="0"/>
    </xf>
    <xf borderId="0" fillId="0" fontId="17" numFmtId="0" xfId="0" applyAlignment="1" applyFont="1">
      <alignment readingOrder="0" shrinkToFit="0" wrapText="0"/>
    </xf>
    <xf borderId="0" fillId="0" fontId="1" numFmtId="0" xfId="0" applyAlignment="1" applyFont="1">
      <alignment shrinkToFit="0" wrapText="0"/>
    </xf>
    <xf borderId="0" fillId="4" fontId="8" numFmtId="0" xfId="0" applyAlignment="1" applyFont="1">
      <alignment readingOrder="0"/>
    </xf>
    <xf borderId="0" fillId="4" fontId="9" numFmtId="165" xfId="0" applyFont="1" applyNumberFormat="1"/>
    <xf borderId="0" fillId="4" fontId="8" numFmtId="0" xfId="0" applyAlignment="1" applyFont="1">
      <alignment horizontal="left"/>
    </xf>
    <xf borderId="0" fillId="5" fontId="18" numFmtId="0" xfId="0" applyAlignment="1" applyFont="1">
      <alignment readingOrder="0" shrinkToFit="0" vertical="bottom" wrapText="0"/>
    </xf>
    <xf borderId="0" fillId="0" fontId="1" numFmtId="10" xfId="0" applyAlignment="1" applyFont="1" applyNumberFormat="1">
      <alignment readingOrder="0"/>
    </xf>
    <xf borderId="0" fillId="0" fontId="1" numFmtId="9" xfId="0" applyAlignment="1" applyFont="1" applyNumberFormat="1">
      <alignment readingOrder="0"/>
    </xf>
    <xf borderId="0" fillId="0" fontId="18" numFmtId="0" xfId="0" applyAlignment="1" applyFont="1">
      <alignment readingOrder="0" shrinkToFit="0" vertical="bottom" wrapText="0"/>
    </xf>
    <xf borderId="0" fillId="8" fontId="8" numFmtId="0" xfId="0" applyAlignment="1" applyFill="1" applyFont="1">
      <alignment horizontal="left" readingOrder="0"/>
    </xf>
    <xf borderId="0" fillId="8" fontId="8" numFmtId="3" xfId="0" applyAlignment="1" applyFont="1" applyNumberFormat="1">
      <alignment horizontal="left" readingOrder="0"/>
    </xf>
    <xf borderId="0" fillId="8" fontId="8" numFmtId="1" xfId="0" applyAlignment="1" applyFont="1" applyNumberFormat="1">
      <alignment horizontal="left" readingOrder="0"/>
    </xf>
    <xf borderId="0" fillId="8" fontId="8" numFmtId="0" xfId="0" applyAlignment="1" applyFont="1">
      <alignment horizontal="left" readingOrder="0" shrinkToFit="0" wrapText="0"/>
    </xf>
    <xf borderId="0" fillId="8" fontId="8" numFmtId="0" xfId="0" applyAlignment="1" applyFont="1">
      <alignment horizontal="center" readingOrder="0"/>
    </xf>
    <xf borderId="0" fillId="0" fontId="1" numFmtId="1" xfId="0" applyAlignment="1" applyFont="1" applyNumberFormat="1">
      <alignment readingOrder="0"/>
    </xf>
    <xf borderId="0" fillId="0" fontId="1" numFmtId="3" xfId="0" applyAlignment="1" applyFont="1" applyNumberFormat="1">
      <alignment horizontal="right" readingOrder="0"/>
    </xf>
    <xf borderId="0" fillId="0" fontId="1" numFmtId="166" xfId="0" applyAlignment="1" applyFont="1" applyNumberFormat="1">
      <alignment readingOrder="0"/>
    </xf>
    <xf borderId="0" fillId="0" fontId="4" numFmtId="0" xfId="0" applyAlignment="1" applyFont="1">
      <alignment horizontal="left" readingOrder="0" shrinkToFit="0" wrapText="0"/>
    </xf>
    <xf borderId="0" fillId="0" fontId="1" numFmtId="4" xfId="0" applyAlignment="1" applyFont="1" applyNumberFormat="1">
      <alignment readingOrder="0"/>
    </xf>
    <xf borderId="0" fillId="0" fontId="1" numFmtId="1" xfId="0" applyAlignment="1" applyFont="1" applyNumberFormat="1">
      <alignment horizontal="right" readingOrder="0"/>
    </xf>
    <xf borderId="0" fillId="0" fontId="1" numFmtId="1" xfId="0" applyAlignment="1" applyFont="1" applyNumberFormat="1">
      <alignment horizontal="center" readingOrder="0"/>
    </xf>
    <xf borderId="0" fillId="0" fontId="1" numFmtId="167" xfId="0" applyAlignment="1" applyFont="1" applyNumberFormat="1">
      <alignment readingOrder="0"/>
    </xf>
    <xf borderId="0" fillId="0" fontId="1" numFmtId="1" xfId="0" applyFont="1" applyNumberFormat="1"/>
    <xf borderId="0" fillId="0" fontId="1" numFmtId="168" xfId="0" applyAlignment="1" applyFont="1" applyNumberFormat="1">
      <alignment readingOrder="0"/>
    </xf>
    <xf borderId="0" fillId="0" fontId="4" numFmtId="0" xfId="0" applyAlignment="1" applyFont="1">
      <alignment horizontal="left" readingOrder="0"/>
    </xf>
    <xf borderId="0" fillId="0" fontId="1" numFmtId="0" xfId="0" applyAlignment="1" applyFont="1">
      <alignment horizontal="left" readingOrder="0"/>
    </xf>
    <xf borderId="0" fillId="0" fontId="1" numFmtId="0" xfId="0" applyAlignment="1" applyFont="1">
      <alignment horizontal="right" readingOrder="0"/>
    </xf>
    <xf borderId="0" fillId="0" fontId="8" numFmtId="0" xfId="0" applyAlignment="1" applyFont="1">
      <alignment horizontal="center" readingOrder="0"/>
    </xf>
    <xf borderId="0" fillId="0" fontId="1" numFmtId="0" xfId="0" applyAlignment="1" applyFont="1">
      <alignment horizontal="right" readingOrder="0" shrinkToFit="0" wrapText="0"/>
    </xf>
    <xf borderId="0" fillId="0" fontId="1" numFmtId="0" xfId="0" applyAlignment="1" applyFont="1">
      <alignment horizontal="left" readingOrder="0" shrinkToFit="0" wrapText="0"/>
    </xf>
    <xf borderId="0" fillId="0" fontId="8" numFmtId="0" xfId="0" applyAlignment="1" applyFont="1">
      <alignment readingOrder="0" shrinkToFit="0" wrapText="0"/>
    </xf>
    <xf borderId="0" fillId="9" fontId="8" numFmtId="0" xfId="0" applyAlignment="1" applyFill="1" applyFont="1">
      <alignment readingOrder="0" shrinkToFit="0" wrapText="0"/>
    </xf>
    <xf borderId="0" fillId="9" fontId="8" numFmtId="0" xfId="0" applyAlignment="1" applyFont="1">
      <alignment readingOrder="0"/>
    </xf>
    <xf borderId="0" fillId="9" fontId="8" numFmtId="1" xfId="0" applyAlignment="1" applyFont="1" applyNumberFormat="1">
      <alignment readingOrder="0"/>
    </xf>
    <xf borderId="0" fillId="9" fontId="1" numFmtId="0" xfId="0" applyAlignment="1" applyFont="1">
      <alignment readingOrder="0"/>
    </xf>
    <xf borderId="0" fillId="9" fontId="1" numFmtId="0" xfId="0" applyFont="1"/>
    <xf borderId="0" fillId="9" fontId="19" numFmtId="0" xfId="0" applyAlignment="1" applyFont="1">
      <alignment readingOrder="0" shrinkToFit="0" wrapText="0"/>
    </xf>
    <xf borderId="0" fillId="9" fontId="1" numFmtId="0" xfId="0" applyAlignment="1" applyFont="1">
      <alignment horizontal="right" readingOrder="0"/>
    </xf>
    <xf borderId="0" fillId="0" fontId="1" numFmtId="0" xfId="0" applyAlignment="1" applyFont="1">
      <alignment readingOrder="0" shrinkToFit="0" wrapText="0"/>
    </xf>
    <xf borderId="0" fillId="9" fontId="8" numFmtId="0" xfId="0" applyAlignment="1" applyFont="1">
      <alignment horizontal="right" readingOrder="0"/>
    </xf>
    <xf borderId="0" fillId="9" fontId="8" numFmtId="0" xfId="0" applyAlignment="1" applyFont="1">
      <alignment horizontal="left"/>
    </xf>
    <xf borderId="0" fillId="3" fontId="8" numFmtId="0" xfId="0" applyAlignment="1" applyFont="1">
      <alignment readingOrder="0" shrinkToFit="0" wrapText="0"/>
    </xf>
    <xf borderId="0" fillId="3" fontId="8" numFmtId="0" xfId="0" applyAlignment="1" applyFont="1">
      <alignment readingOrder="0"/>
    </xf>
    <xf borderId="0" fillId="3" fontId="8" numFmtId="1" xfId="0" applyAlignment="1" applyFont="1" applyNumberFormat="1">
      <alignment readingOrder="0"/>
    </xf>
    <xf borderId="0" fillId="3" fontId="1" numFmtId="0" xfId="0" applyAlignment="1" applyFont="1">
      <alignment readingOrder="0" shrinkToFit="0" wrapText="0"/>
    </xf>
    <xf borderId="0" fillId="3" fontId="1" numFmtId="3" xfId="0" applyAlignment="1" applyFont="1" applyNumberFormat="1">
      <alignment readingOrder="0"/>
    </xf>
    <xf borderId="0" fillId="3" fontId="1" numFmtId="164" xfId="0" applyAlignment="1" applyFont="1" applyNumberFormat="1">
      <alignment readingOrder="0"/>
    </xf>
    <xf borderId="0" fillId="3" fontId="1" numFmtId="0" xfId="0" applyFont="1"/>
    <xf borderId="0" fillId="0" fontId="20" numFmtId="0" xfId="0" applyAlignment="1" applyFont="1">
      <alignment readingOrder="0" shrinkToFit="0" wrapText="0"/>
    </xf>
    <xf borderId="0" fillId="3" fontId="21" numFmtId="0" xfId="0" applyAlignment="1" applyFont="1">
      <alignment readingOrder="0" shrinkToFit="0" wrapText="0"/>
    </xf>
    <xf borderId="0" fillId="3" fontId="1" numFmtId="165" xfId="0" applyAlignment="1" applyFont="1" applyNumberFormat="1">
      <alignment readingOrder="0"/>
    </xf>
    <xf borderId="0" fillId="0" fontId="1" numFmtId="0" xfId="0" applyAlignment="1" applyFont="1">
      <alignment shrinkToFit="0" wrapText="0"/>
    </xf>
    <xf borderId="0" fillId="3" fontId="22" numFmtId="0" xfId="0" applyAlignment="1" applyFont="1">
      <alignment readingOrder="0" shrinkToFit="0" wrapText="0"/>
    </xf>
    <xf borderId="0" fillId="3" fontId="1" numFmtId="0" xfId="0" applyAlignment="1" applyFont="1">
      <alignment shrinkToFit="0" wrapText="0"/>
    </xf>
    <xf borderId="0" fillId="3" fontId="1" numFmtId="165" xfId="0" applyAlignment="1" applyFont="1" applyNumberFormat="1">
      <alignment horizontal="right" readingOrder="0"/>
    </xf>
    <xf borderId="0" fillId="3" fontId="1" numFmtId="3" xfId="0" applyFont="1" applyNumberFormat="1"/>
    <xf borderId="0" fillId="3" fontId="8" numFmtId="165" xfId="0" applyAlignment="1" applyFont="1" applyNumberFormat="1">
      <alignment horizontal="right" readingOrder="0"/>
    </xf>
    <xf borderId="0" fillId="3" fontId="8" numFmtId="0" xfId="0" applyAlignment="1" applyFont="1">
      <alignment horizontal="left"/>
    </xf>
    <xf borderId="0" fillId="0" fontId="1" numFmtId="3" xfId="0" applyFont="1" applyNumberFormat="1"/>
    <xf borderId="0" fillId="4" fontId="8" numFmtId="0" xfId="0" applyAlignment="1" applyFont="1">
      <alignment readingOrder="0" shrinkToFit="0" wrapText="0"/>
    </xf>
    <xf borderId="0" fillId="4" fontId="8" numFmtId="3" xfId="0" applyAlignment="1" applyFont="1" applyNumberFormat="1">
      <alignment readingOrder="0"/>
    </xf>
    <xf borderId="0" fillId="4" fontId="8" numFmtId="1" xfId="0" applyAlignment="1" applyFont="1" applyNumberFormat="1">
      <alignment readingOrder="0"/>
    </xf>
    <xf borderId="0" fillId="4" fontId="1" numFmtId="165" xfId="0" applyAlignment="1" applyFont="1" applyNumberFormat="1">
      <alignment readingOrder="0"/>
    </xf>
    <xf borderId="0" fillId="4" fontId="23" numFmtId="0" xfId="0" applyAlignment="1" applyFont="1">
      <alignment readingOrder="0" shrinkToFit="0" wrapText="0"/>
    </xf>
    <xf borderId="0" fillId="4" fontId="1" numFmtId="1" xfId="0" applyAlignment="1" applyFont="1" applyNumberFormat="1">
      <alignment horizontal="right" readingOrder="0"/>
    </xf>
    <xf borderId="0" fillId="4" fontId="1" numFmtId="0" xfId="0" applyAlignment="1" applyFont="1">
      <alignment horizontal="right" readingOrder="0"/>
    </xf>
    <xf borderId="0" fillId="4" fontId="1" numFmtId="3" xfId="0" applyFont="1" applyNumberFormat="1"/>
    <xf borderId="0" fillId="4" fontId="8" numFmtId="165" xfId="0" applyAlignment="1" applyFont="1" applyNumberFormat="1">
      <alignment horizontal="right" readingOrder="0"/>
    </xf>
    <xf borderId="0" fillId="9" fontId="8" numFmtId="3" xfId="0" applyAlignment="1" applyFont="1" applyNumberFormat="1">
      <alignment readingOrder="0"/>
    </xf>
    <xf borderId="0" fillId="9" fontId="1" numFmtId="3" xfId="0" applyAlignment="1" applyFont="1" applyNumberFormat="1">
      <alignment readingOrder="0"/>
    </xf>
    <xf borderId="0" fillId="9" fontId="1" numFmtId="169" xfId="0" applyAlignment="1" applyFont="1" applyNumberFormat="1">
      <alignment readingOrder="0"/>
    </xf>
    <xf borderId="0" fillId="9" fontId="24" numFmtId="0" xfId="0" applyAlignment="1" applyFont="1">
      <alignment readingOrder="0" shrinkToFit="0" wrapText="0"/>
    </xf>
    <xf borderId="0" fillId="9" fontId="1" numFmtId="4" xfId="0" applyAlignment="1" applyFont="1" applyNumberFormat="1">
      <alignment readingOrder="0"/>
    </xf>
    <xf borderId="0" fillId="9" fontId="1" numFmtId="170" xfId="0" applyAlignment="1" applyFont="1" applyNumberFormat="1">
      <alignment readingOrder="0"/>
    </xf>
    <xf borderId="0" fillId="9" fontId="1" numFmtId="171" xfId="0" applyAlignment="1" applyFont="1" applyNumberFormat="1">
      <alignment readingOrder="0"/>
    </xf>
    <xf borderId="0" fillId="9" fontId="1" numFmtId="164" xfId="0" applyAlignment="1" applyFont="1" applyNumberFormat="1">
      <alignment horizontal="right" readingOrder="0"/>
    </xf>
    <xf borderId="0" fillId="9" fontId="8" numFmtId="164" xfId="0" applyAlignment="1" applyFont="1" applyNumberFormat="1">
      <alignment horizontal="right" readingOrder="0"/>
    </xf>
    <xf borderId="0" fillId="9" fontId="8" numFmtId="167" xfId="0" applyAlignment="1" applyFont="1" applyNumberFormat="1">
      <alignment horizontal="left" readingOrder="0"/>
    </xf>
    <xf borderId="0" fillId="9" fontId="9" numFmtId="3" xfId="0" applyAlignment="1" applyFont="1" applyNumberFormat="1">
      <alignment readingOrder="0"/>
    </xf>
    <xf borderId="0" fillId="9" fontId="9" numFmtId="0" xfId="0" applyFont="1"/>
    <xf borderId="0" fillId="9" fontId="1" numFmtId="3" xfId="0" applyFont="1" applyNumberFormat="1"/>
    <xf borderId="0" fillId="9" fontId="1" numFmtId="164" xfId="0" applyFont="1" applyNumberFormat="1"/>
    <xf borderId="0" fillId="3" fontId="8" numFmtId="3" xfId="0" applyAlignment="1" applyFont="1" applyNumberFormat="1">
      <alignment readingOrder="0"/>
    </xf>
    <xf borderId="0" fillId="3" fontId="1" numFmtId="2" xfId="0" applyAlignment="1" applyFont="1" applyNumberFormat="1">
      <alignment readingOrder="0"/>
    </xf>
    <xf borderId="0" fillId="3" fontId="1" numFmtId="2" xfId="0" applyAlignment="1" applyFont="1" applyNumberFormat="1">
      <alignment horizontal="right" readingOrder="0"/>
    </xf>
    <xf borderId="0" fillId="3" fontId="25" numFmtId="0" xfId="0" applyAlignment="1" applyFont="1">
      <alignment readingOrder="0"/>
    </xf>
    <xf borderId="0" fillId="3" fontId="8" numFmtId="166" xfId="0" applyAlignment="1" applyFont="1" applyNumberFormat="1">
      <alignment horizontal="left"/>
    </xf>
    <xf borderId="0" fillId="0" fontId="8" numFmtId="3" xfId="0" applyAlignment="1" applyFont="1" applyNumberFormat="1">
      <alignment readingOrder="0"/>
    </xf>
  </cellXfs>
  <cellStyles count="1">
    <cellStyle xfId="0" name="Normal" builtinId="0"/>
  </cellStyles>
  <dxfs count="0"/>
</styleSheet>
</file>

<file path=xl/_rels/workbook.xml.rels><?xml version="1.0" encoding="UTF-8" standalone="yes"?><Relationships xmlns="http://schemas.openxmlformats.org/package/2006/relationships"><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9" Type="http://schemas.openxmlformats.org/officeDocument/2006/relationships/worksheet" Target="worksheets/sheet6.xml"/><Relationship Id="rId5" Type="http://schemas.openxmlformats.org/officeDocument/2006/relationships/worksheet" Target="worksheets/sheet2.xml"/><Relationship Id="rId6" Type="http://schemas.openxmlformats.org/officeDocument/2006/relationships/worksheet" Target="worksheets/sheet3.xml"/><Relationship Id="rId7" Type="http://schemas.openxmlformats.org/officeDocument/2006/relationships/worksheet" Target="worksheets/sheet4.xml"/><Relationship Id="rId8" Type="http://schemas.openxmlformats.org/officeDocument/2006/relationships/worksheet" Target="worksheets/sheet5.xml"/></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 Id="rId2" Type="http://schemas.openxmlformats.org/officeDocument/2006/relationships/image" Target="../media/image1.png"/><Relationship Id="rId3"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 Id="rId2" Type="http://schemas.openxmlformats.org/officeDocument/2006/relationships/image" Target="../media/image3.png"/><Relationship Id="rId3" Type="http://schemas.openxmlformats.org/officeDocument/2006/relationships/image" Target="../media/image7.png"/><Relationship Id="rId4"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4</xdr:col>
      <xdr:colOff>419100</xdr:colOff>
      <xdr:row>9</xdr:row>
      <xdr:rowOff>180975</xdr:rowOff>
    </xdr:from>
    <xdr:ext cx="6657975" cy="1714500"/>
    <xdr:pic>
      <xdr:nvPicPr>
        <xdr:cNvPr id="0" name="image4.png" title="Image"/>
        <xdr:cNvPicPr preferRelativeResize="0"/>
      </xdr:nvPicPr>
      <xdr:blipFill>
        <a:blip cstate="print" r:embed="rId1"/>
        <a:stretch>
          <a:fillRect/>
        </a:stretch>
      </xdr:blipFill>
      <xdr:spPr>
        <a:prstGeom prst="rect">
          <a:avLst/>
        </a:prstGeom>
        <a:noFill/>
      </xdr:spPr>
    </xdr:pic>
    <xdr:clientData fLocksWithSheet="0"/>
  </xdr:oneCellAnchor>
  <xdr:oneCellAnchor>
    <xdr:from>
      <xdr:col>0</xdr:col>
      <xdr:colOff>1343025</xdr:colOff>
      <xdr:row>43</xdr:row>
      <xdr:rowOff>142875</xdr:rowOff>
    </xdr:from>
    <xdr:ext cx="4733925" cy="2790825"/>
    <xdr:pic>
      <xdr:nvPicPr>
        <xdr:cNvPr id="0" name="image1.png" title="Image"/>
        <xdr:cNvPicPr preferRelativeResize="0"/>
      </xdr:nvPicPr>
      <xdr:blipFill>
        <a:blip cstate="print" r:embed="rId2"/>
        <a:stretch>
          <a:fillRect/>
        </a:stretch>
      </xdr:blipFill>
      <xdr:spPr>
        <a:prstGeom prst="rect">
          <a:avLst/>
        </a:prstGeom>
        <a:noFill/>
      </xdr:spPr>
    </xdr:pic>
    <xdr:clientData fLocksWithSheet="0"/>
  </xdr:oneCellAnchor>
  <xdr:oneCellAnchor>
    <xdr:from>
      <xdr:col>4</xdr:col>
      <xdr:colOff>809625</xdr:colOff>
      <xdr:row>43</xdr:row>
      <xdr:rowOff>85725</xdr:rowOff>
    </xdr:from>
    <xdr:ext cx="6572250" cy="5314950"/>
    <xdr:pic>
      <xdr:nvPicPr>
        <xdr:cNvPr id="0" name="image6.png" title="Image"/>
        <xdr:cNvPicPr preferRelativeResize="0"/>
      </xdr:nvPicPr>
      <xdr:blipFill>
        <a:blip cstate="print" r:embed="rId3"/>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9</xdr:col>
      <xdr:colOff>1095375</xdr:colOff>
      <xdr:row>51</xdr:row>
      <xdr:rowOff>28575</xdr:rowOff>
    </xdr:from>
    <xdr:ext cx="5095875" cy="2952750"/>
    <xdr:pic>
      <xdr:nvPicPr>
        <xdr:cNvPr id="0" name="image5.png" title="Image"/>
        <xdr:cNvPicPr preferRelativeResize="0"/>
      </xdr:nvPicPr>
      <xdr:blipFill>
        <a:blip cstate="print" r:embed="rId1"/>
        <a:stretch>
          <a:fillRect/>
        </a:stretch>
      </xdr:blipFill>
      <xdr:spPr>
        <a:prstGeom prst="rect">
          <a:avLst/>
        </a:prstGeom>
        <a:noFill/>
      </xdr:spPr>
    </xdr:pic>
    <xdr:clientData fLocksWithSheet="0"/>
  </xdr:oneCellAnchor>
  <xdr:oneCellAnchor>
    <xdr:from>
      <xdr:col>14</xdr:col>
      <xdr:colOff>923925</xdr:colOff>
      <xdr:row>51</xdr:row>
      <xdr:rowOff>47625</xdr:rowOff>
    </xdr:from>
    <xdr:ext cx="5857875" cy="2914650"/>
    <xdr:pic>
      <xdr:nvPicPr>
        <xdr:cNvPr id="0" name="image3.png" title="Image"/>
        <xdr:cNvPicPr preferRelativeResize="0"/>
      </xdr:nvPicPr>
      <xdr:blipFill>
        <a:blip cstate="print" r:embed="rId2"/>
        <a:stretch>
          <a:fillRect/>
        </a:stretch>
      </xdr:blipFill>
      <xdr:spPr>
        <a:prstGeom prst="rect">
          <a:avLst/>
        </a:prstGeom>
        <a:noFill/>
      </xdr:spPr>
    </xdr:pic>
    <xdr:clientData fLocksWithSheet="0"/>
  </xdr:oneCellAnchor>
  <xdr:oneCellAnchor>
    <xdr:from>
      <xdr:col>21</xdr:col>
      <xdr:colOff>123825</xdr:colOff>
      <xdr:row>50</xdr:row>
      <xdr:rowOff>171450</xdr:rowOff>
    </xdr:from>
    <xdr:ext cx="4581525" cy="4505325"/>
    <xdr:pic>
      <xdr:nvPicPr>
        <xdr:cNvPr id="0" name="image7.png" title="Image"/>
        <xdr:cNvPicPr preferRelativeResize="0"/>
      </xdr:nvPicPr>
      <xdr:blipFill>
        <a:blip cstate="print" r:embed="rId3"/>
        <a:stretch>
          <a:fillRect/>
        </a:stretch>
      </xdr:blipFill>
      <xdr:spPr>
        <a:prstGeom prst="rect">
          <a:avLst/>
        </a:prstGeom>
        <a:noFill/>
      </xdr:spPr>
    </xdr:pic>
    <xdr:clientData fLocksWithSheet="0"/>
  </xdr:oneCellAnchor>
  <xdr:oneCellAnchor>
    <xdr:from>
      <xdr:col>10</xdr:col>
      <xdr:colOff>152400</xdr:colOff>
      <xdr:row>13</xdr:row>
      <xdr:rowOff>295275</xdr:rowOff>
    </xdr:from>
    <xdr:ext cx="6162675" cy="3228975"/>
    <xdr:pic>
      <xdr:nvPicPr>
        <xdr:cNvPr id="0" name="image2.png" title="Image"/>
        <xdr:cNvPicPr preferRelativeResize="0"/>
      </xdr:nvPicPr>
      <xdr:blipFill>
        <a:blip cstate="print" r:embed="rId4"/>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1" Type="http://schemas.openxmlformats.org/officeDocument/2006/relationships/hyperlink" Target="https://doi.org/10.1016/j.energy.2018.06.149" TargetMode="External"/><Relationship Id="rId10" Type="http://schemas.openxmlformats.org/officeDocument/2006/relationships/hyperlink" Target="https://doi.org/10.1016/j.ecolecon.2014.12.001" TargetMode="External"/><Relationship Id="rId13" Type="http://schemas.openxmlformats.org/officeDocument/2006/relationships/hyperlink" Target="https://doi.org/10.2790/35716" TargetMode="External"/><Relationship Id="rId12" Type="http://schemas.openxmlformats.org/officeDocument/2006/relationships/hyperlink" Target="https://doi.org/10.1038/ngeo1993" TargetMode="External"/><Relationship Id="rId1" Type="http://schemas.openxmlformats.org/officeDocument/2006/relationships/hyperlink" Target="https://www.osti.gov/biblio/6927146" TargetMode="External"/><Relationship Id="rId2" Type="http://schemas.openxmlformats.org/officeDocument/2006/relationships/hyperlink" Target="https://www.osti.gov/servlets/purl/6927146" TargetMode="External"/><Relationship Id="rId3" Type="http://schemas.openxmlformats.org/officeDocument/2006/relationships/hyperlink" Target="https://mitprod-my.sharepoint.com/personal/carrin_mit_edu/_layouts/15/onedrive.aspx?id=%2Fpersonal%2Fcarrin%5Fmit%5Fedu%2FDocuments%2FAttachments%2F194%2DANP%20TR%20CANES%2Epdf&amp;parent=%2Fpersonal%2Fcarrin%5Fmit%5Fedu%2FDocuments%2FAttachments&amp;ga=1" TargetMode="External"/><Relationship Id="rId4" Type="http://schemas.openxmlformats.org/officeDocument/2006/relationships/hyperlink" Target="https://www.nrc.gov/docs/ML1117/ML11171A453.pdf" TargetMode="External"/><Relationship Id="rId9" Type="http://schemas.openxmlformats.org/officeDocument/2006/relationships/hyperlink" Target="https://pubs.acs.org/doi/suppl/10.1021/acs.est.3c03190/suppl_file/es3c03190_si_001.pdf" TargetMode="External"/><Relationship Id="rId14" Type="http://schemas.openxmlformats.org/officeDocument/2006/relationships/drawing" Target="../drawings/drawing1.xml"/><Relationship Id="rId5" Type="http://schemas.openxmlformats.org/officeDocument/2006/relationships/hyperlink" Target="https://aris.iaea.org/sites/RPV.html" TargetMode="External"/><Relationship Id="rId6" Type="http://schemas.openxmlformats.org/officeDocument/2006/relationships/hyperlink" Target="https://pdfs.semanticscholar.org/519e/a5c55a312f3f45ccfcc4a093a941366c6658.pdf" TargetMode="External"/><Relationship Id="rId7" Type="http://schemas.openxmlformats.org/officeDocument/2006/relationships/hyperlink" Target="https://www.sciencedirect.com/science/article/pii/S0306261921002555." TargetMode="External"/><Relationship Id="rId8" Type="http://schemas.openxmlformats.org/officeDocument/2006/relationships/hyperlink" Target="https://assets.publishing.service.gov.uk/media/5a7d008fed915d28e9f39754/geho0510bskh-e-e.pdf" TargetMode="External"/></Relationships>
</file>

<file path=xl/worksheets/_rels/sheet2.xml.rels><?xml version="1.0" encoding="UTF-8" standalone="yes"?><Relationships xmlns="http://schemas.openxmlformats.org/package/2006/relationships"><Relationship Id="rId11" Type="http://schemas.openxmlformats.org/officeDocument/2006/relationships/hyperlink" Target="https://doi.org/10.1038/ngeo1993" TargetMode="External"/><Relationship Id="rId10" Type="http://schemas.openxmlformats.org/officeDocument/2006/relationships/hyperlink" Target="https://doi.org/10.1016/j.energy.2018.06.149" TargetMode="External"/><Relationship Id="rId13" Type="http://schemas.openxmlformats.org/officeDocument/2006/relationships/hyperlink" Target="https://www.sciencedirect.com/science/article/abs/pii/S0360544216310350" TargetMode="External"/><Relationship Id="rId12" Type="http://schemas.openxmlformats.org/officeDocument/2006/relationships/hyperlink" Target="https://doi.org/10.2790/35716" TargetMode="External"/><Relationship Id="rId1" Type="http://schemas.openxmlformats.org/officeDocument/2006/relationships/hyperlink" Target="https://mitprod-my.sharepoint.com/personal/carrin_mit_edu/_layouts/15/onedrive.aspx?id=%2Fpersonal%2Fcarrin%5Fmit%5Fedu%2FDocuments%2FAttachments%2F194%2DANP%20TR%20CANES%2Epdf&amp;parent=%2Fpersonal%2Fcarrin%5Fmit%5Fedu%2FDocuments%2FAttachments&amp;ga=1" TargetMode="External"/><Relationship Id="rId2" Type="http://schemas.openxmlformats.org/officeDocument/2006/relationships/hyperlink" Target="https://aris.iaea.org/PDF/BWRX-300_2020.pdf" TargetMode="External"/><Relationship Id="rId3" Type="http://schemas.openxmlformats.org/officeDocument/2006/relationships/hyperlink" Target="https://aris.iaea.org/PDF/BWRX-300_2020.pdf" TargetMode="External"/><Relationship Id="rId4" Type="http://schemas.openxmlformats.org/officeDocument/2006/relationships/hyperlink" Target="https://www.gevernova.com/content/dam/gepower-new/global/en_US/images/gas-new-site/en/bwrx-300/005N9751_Rev_BWRX-300_General_Description.pdf" TargetMode="External"/><Relationship Id="rId9" Type="http://schemas.openxmlformats.org/officeDocument/2006/relationships/hyperlink" Target="https://doi.org/10.1016/j.ecolecon.2014.12.001" TargetMode="External"/><Relationship Id="rId15" Type="http://schemas.openxmlformats.org/officeDocument/2006/relationships/hyperlink" Target="https://assets.publishing.service.gov.uk/media/5a7d008fed915d28e9f39754/geho0510bskh-e-e.pdf" TargetMode="External"/><Relationship Id="rId14" Type="http://schemas.openxmlformats.org/officeDocument/2006/relationships/hyperlink" Target="https://www.sciencedirect.com/science/article/pii/S0306261921002555." TargetMode="External"/><Relationship Id="rId16" Type="http://schemas.openxmlformats.org/officeDocument/2006/relationships/drawing" Target="../drawings/drawing2.xml"/><Relationship Id="rId5" Type="http://schemas.openxmlformats.org/officeDocument/2006/relationships/hyperlink" Target="https://pdfs.semanticscholar.org/519e/a5c55a312f3f45ccfcc4a093a941366c6658.pdf" TargetMode="External"/><Relationship Id="rId6" Type="http://schemas.openxmlformats.org/officeDocument/2006/relationships/hyperlink" Target="https://aris.iaea.org/PDF/BWRX-300_2020.pdf" TargetMode="External"/><Relationship Id="rId7" Type="http://schemas.openxmlformats.org/officeDocument/2006/relationships/hyperlink" Target="https://www.sciencedirect.com/science/article/pii/S0306261921002555." TargetMode="External"/><Relationship Id="rId8" Type="http://schemas.openxmlformats.org/officeDocument/2006/relationships/hyperlink" Target="https://pubs.acs.org/doi/suppl/10.1021/acs.est.3c03190/suppl_file/es3c03190_si_001.pdf" TargetMode="External"/></Relationships>
</file>

<file path=xl/worksheets/_rels/sheet3.xml.rels><?xml version="1.0" encoding="UTF-8" standalone="yes"?><Relationships xmlns="http://schemas.openxmlformats.org/package/2006/relationships"><Relationship Id="rId1" Type="http://schemas.openxmlformats.org/officeDocument/2006/relationships/hyperlink" Target="https://apps.openei.org/REMPD/" TargetMode="External"/><Relationship Id="rId2"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hyperlink" Target="https://apps.openei.org/REMPD/" TargetMode="External"/><Relationship Id="rId2" Type="http://schemas.openxmlformats.org/officeDocument/2006/relationships/hyperlink" Target="https://www.greenrhinoenergy.com/solar/technologies/solar_glass.php" TargetMode="External"/><Relationship Id="rId3" Type="http://schemas.openxmlformats.org/officeDocument/2006/relationships/hyperlink" Target="https://static.trinasolar.com/sites/default/files/DT-M-0042%20D%20Datasheet_Vertex_NEG21C.20_EN_2023_C_web.pdf" TargetMode="External"/><Relationship Id="rId4" Type="http://schemas.openxmlformats.org/officeDocument/2006/relationships/hyperlink" Target="https://about.bnef.com/blog/aluminum-copper-use-to-shrink-in-future-wind-and-solar-farms/" TargetMode="External"/><Relationship Id="rId5" Type="http://schemas.openxmlformats.org/officeDocument/2006/relationships/hyperlink" Target="https://www.vdma.org/international-technology-roadmap-photovoltaic" TargetMode="External"/><Relationship Id="rId6" Type="http://schemas.openxmlformats.org/officeDocument/2006/relationships/hyperlink" Target="https://iea-pvps.org/key-topics/life-cycle-inventories-and-life-cycle-assessments-of-photovoltaic-systems/" TargetMode="External"/><Relationship Id="rId7"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1" Type="http://schemas.openxmlformats.org/officeDocument/2006/relationships/hyperlink" Target="https://www.theworldmaterial.com/type-304-grade-stainless-steel/" TargetMode="External"/><Relationship Id="rId10" Type="http://schemas.openxmlformats.org/officeDocument/2006/relationships/hyperlink" Target="https://bssa.org.uk/bssa_articles/chemical-compositions-of-aisi-astm-asme-and-uns-austenitic-stainless-steel-grades/" TargetMode="External"/><Relationship Id="rId13" Type="http://schemas.openxmlformats.org/officeDocument/2006/relationships/drawing" Target="../drawings/drawing5.xml"/><Relationship Id="rId12" Type="http://schemas.openxmlformats.org/officeDocument/2006/relationships/hyperlink" Target="https://www.cell.com/joule/pdf/S2542-4351(23)00411-7.pdf" TargetMode="External"/><Relationship Id="rId1" Type="http://schemas.openxmlformats.org/officeDocument/2006/relationships/hyperlink" Target="https://www.pv-magazine.com/2024/01/22/largest-us-solar-storage-project-goes-online/" TargetMode="External"/><Relationship Id="rId2" Type="http://schemas.openxmlformats.org/officeDocument/2006/relationships/hyperlink" Target="https://www.renewableenergyworld.com/solar/utility-scale/intersect-power-turns-on-massive-solar-storage-project-in-california/" TargetMode="External"/><Relationship Id="rId3" Type="http://schemas.openxmlformats.org/officeDocument/2006/relationships/hyperlink" Target="https://www.publicpower.org/periodical/article/california-ccas-announce-commissioning-new-large-scale-solar-and-energy-storage-project" TargetMode="External"/><Relationship Id="rId4" Type="http://schemas.openxmlformats.org/officeDocument/2006/relationships/hyperlink" Target="https://www.utilitydive.com/news/longroad-battery-energy-storage-system-solar-arizona-public-service-aps/640625/" TargetMode="External"/><Relationship Id="rId9" Type="http://schemas.openxmlformats.org/officeDocument/2006/relationships/hyperlink" Target="https://www.ssab.com/en/brands-and-products/docol/recommended-ahss-steels-for-car-applications" TargetMode="External"/><Relationship Id="rId5" Type="http://schemas.openxmlformats.org/officeDocument/2006/relationships/hyperlink" Target="https://www.transportenvironment.org/wp-content/uploads/2021/07/2021_02_Battery_raw_materials_report_final.pdf" TargetMode="External"/><Relationship Id="rId6" Type="http://schemas.openxmlformats.org/officeDocument/2006/relationships/hyperlink" Target="https://www.batterydesign.net/cell-to-pack-mass-ratio/" TargetMode="External"/><Relationship Id="rId7" Type="http://schemas.openxmlformats.org/officeDocument/2006/relationships/hyperlink" Target="https://ctsbattery.en.made-in-china.com/product/GZNaxSHjZicr/China-50kwh-60kwh-LFP-Battery-Pack-for-EV-E-Truck-E-Bus-Vans-Construction-Logistic-Car.html" TargetMode="External"/><Relationship Id="rId8" Type="http://schemas.openxmlformats.org/officeDocument/2006/relationships/hyperlink" Target="https://dakotalithium.b-cdn.net/wp-content/uploads/2023/08/LiFePO4-Safety-Data-Sheet-Lithium-Iron-Phosphate-Batteries.pdf" TargetMode="External"/></Relationships>
</file>

<file path=xl/worksheets/_rels/sheet6.xml.rels><?xml version="1.0" encoding="UTF-8" standalone="yes"?><Relationships xmlns="http://schemas.openxmlformats.org/package/2006/relationships"><Relationship Id="rId20" Type="http://schemas.openxmlformats.org/officeDocument/2006/relationships/hyperlink" Target="https://www.99acres.com/articles/portland-cement.html" TargetMode="External"/><Relationship Id="rId22" Type="http://schemas.openxmlformats.org/officeDocument/2006/relationships/hyperlink" Target="https://www.theconstructioncivil.org/high-density-concrete/" TargetMode="External"/><Relationship Id="rId21" Type="http://schemas.openxmlformats.org/officeDocument/2006/relationships/hyperlink" Target="https://us.ukessays.com/essays/biology/the-high-density-concrete-biology-essay.php" TargetMode="External"/><Relationship Id="rId24" Type="http://schemas.openxmlformats.org/officeDocument/2006/relationships/hyperlink" Target="https://www.greenrhinoenergy.com/solar/technologies/solar_glass.php" TargetMode="External"/><Relationship Id="rId23" Type="http://schemas.openxmlformats.org/officeDocument/2006/relationships/hyperlink" Target="https://precast.org/2013/04/weighing-in-on-high-density-concrete/" TargetMode="External"/><Relationship Id="rId1" Type="http://schemas.openxmlformats.org/officeDocument/2006/relationships/hyperlink" Target="https://www.science.org/doi/10.1126/sciadv.1400180" TargetMode="External"/><Relationship Id="rId2" Type="http://schemas.openxmlformats.org/officeDocument/2006/relationships/hyperlink" Target="https://pubs.acs.org/doi/10.1021/acs.est.1c07875" TargetMode="External"/><Relationship Id="rId3" Type="http://schemas.openxmlformats.org/officeDocument/2006/relationships/hyperlink" Target="https://www.sciencedirect.com/science/article/pii/S0959652623011162" TargetMode="External"/><Relationship Id="rId4" Type="http://schemas.openxmlformats.org/officeDocument/2006/relationships/hyperlink" Target="https://matmatch.com/materials/minfm54887-astm-a508-grade-5-class-1-quenched-and-tempered" TargetMode="External"/><Relationship Id="rId9" Type="http://schemas.openxmlformats.org/officeDocument/2006/relationships/hyperlink" Target="https://www.matweb.com/search/DataSheet.aspx?MatGUID=10b74ebc27344380ab16b1b69f1cffbb" TargetMode="External"/><Relationship Id="rId26" Type="http://schemas.openxmlformats.org/officeDocument/2006/relationships/hyperlink" Target="https://www.greenrhinoenergy.com/solar/downloads/AGC_Solite-LR.pdf" TargetMode="External"/><Relationship Id="rId25" Type="http://schemas.openxmlformats.org/officeDocument/2006/relationships/hyperlink" Target="https://www.greenrhinoenergy.com/solar/downloads/AGC_Sunmax-LR.pdf" TargetMode="External"/><Relationship Id="rId28" Type="http://schemas.openxmlformats.org/officeDocument/2006/relationships/hyperlink" Target="https://glassforeurope.com/wp-content/uploads/2018/04/The-status-of-Flat-Soda-Lime-Silicate-Glass-and-its-raw-materials-under-REACH.pdf" TargetMode="External"/><Relationship Id="rId27" Type="http://schemas.openxmlformats.org/officeDocument/2006/relationships/hyperlink" Target="https://www.ncbi.nlm.nih.gov/pmc/articles/PMC10245155/" TargetMode="External"/><Relationship Id="rId5" Type="http://schemas.openxmlformats.org/officeDocument/2006/relationships/hyperlink" Target="https://www.ncbi.nlm.nih.gov/pmc/articles/PMC9786578/" TargetMode="External"/><Relationship Id="rId6" Type="http://schemas.openxmlformats.org/officeDocument/2006/relationships/hyperlink" Target="https://www.amardeepsteel.com/blog/density-of-stainless-steel-304.html" TargetMode="External"/><Relationship Id="rId29" Type="http://schemas.openxmlformats.org/officeDocument/2006/relationships/hyperlink" Target="https://www.advancedoptics.com/SodaLimeGlassTechnicalDataSheet.pdf" TargetMode="External"/><Relationship Id="rId7" Type="http://schemas.openxmlformats.org/officeDocument/2006/relationships/hyperlink" Target="https://bssa.org.uk/bssa_articles/chemical-compositions-of-aisi-astm-asme-and-uns-austenitic-stainless-steel-grades/" TargetMode="External"/><Relationship Id="rId8" Type="http://schemas.openxmlformats.org/officeDocument/2006/relationships/hyperlink" Target="https://www.theworldmaterial.com/type-304-grade-stainless-steel/" TargetMode="External"/><Relationship Id="rId30" Type="http://schemas.openxmlformats.org/officeDocument/2006/relationships/drawing" Target="../drawings/drawing6.xml"/><Relationship Id="rId11" Type="http://schemas.openxmlformats.org/officeDocument/2006/relationships/hyperlink" Target="https://www.theworldmaterial.com/astm-sae-aisi-1020-carbon-steel/" TargetMode="External"/><Relationship Id="rId10" Type="http://schemas.openxmlformats.org/officeDocument/2006/relationships/hyperlink" Target="https://www.nrc.gov/docs/ML0708/ML070850183.pdf" TargetMode="External"/><Relationship Id="rId13" Type="http://schemas.openxmlformats.org/officeDocument/2006/relationships/hyperlink" Target="https://www.everything-about-concrete.com/concrete-mix-ratios-for-3000-3500-4000-psi-concrete.html" TargetMode="External"/><Relationship Id="rId12" Type="http://schemas.openxmlformats.org/officeDocument/2006/relationships/hyperlink" Target="https://gambrick.com/the-best-concrete-mix-ratio/" TargetMode="External"/><Relationship Id="rId15" Type="http://schemas.openxmlformats.org/officeDocument/2006/relationships/hyperlink" Target="https://www.rtsconstructioncompany.com/blog/concrete-mixing-ratios-a-guide" TargetMode="External"/><Relationship Id="rId14" Type="http://schemas.openxmlformats.org/officeDocument/2006/relationships/hyperlink" Target="https://civilengineersforum.com/concrete-mix-ratio/" TargetMode="External"/><Relationship Id="rId17" Type="http://schemas.openxmlformats.org/officeDocument/2006/relationships/hyperlink" Target="https://civiltoday.com/civil-engineering-materials/cement/10-cement-ingredients-with-functions" TargetMode="External"/><Relationship Id="rId16" Type="http://schemas.openxmlformats.org/officeDocument/2006/relationships/hyperlink" Target="https://www.howden.com/en-us/articles/cement/how-is-cement-made" TargetMode="External"/><Relationship Id="rId19" Type="http://schemas.openxmlformats.org/officeDocument/2006/relationships/hyperlink" Target="https://theconstructor.org/concrete/ordinary-portland-cement/23181/" TargetMode="External"/><Relationship Id="rId18" Type="http://schemas.openxmlformats.org/officeDocument/2006/relationships/hyperlink" Target="https://www.aboutcivil.org/composition-portland-cement" TargetMode="Externa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1" max="1" width="29.25"/>
    <col customWidth="1" min="2" max="2" width="22.13"/>
    <col customWidth="1" min="3" max="3" width="19.88"/>
    <col customWidth="1" min="4" max="4" width="20.13"/>
    <col customWidth="1" min="5" max="5" width="20.25"/>
    <col customWidth="1" min="6" max="6" width="18.75"/>
    <col customWidth="1" min="7" max="7" width="20.25"/>
    <col customWidth="1" min="8" max="9" width="19.13"/>
    <col customWidth="1" min="10" max="10" width="17.75"/>
    <col customWidth="1" min="11" max="11" width="18.88"/>
  </cols>
  <sheetData>
    <row r="1">
      <c r="A1" s="1" t="s">
        <v>0</v>
      </c>
    </row>
    <row r="2">
      <c r="A2" s="2" t="s">
        <v>1</v>
      </c>
    </row>
    <row r="3">
      <c r="A3" s="3" t="s">
        <v>2</v>
      </c>
    </row>
    <row r="4">
      <c r="A4" s="4"/>
    </row>
    <row r="5">
      <c r="A5" s="4" t="s">
        <v>3</v>
      </c>
    </row>
    <row r="6">
      <c r="A6" s="5" t="s">
        <v>4</v>
      </c>
      <c r="B6" s="6"/>
      <c r="C6" s="6"/>
      <c r="D6" s="6"/>
      <c r="E6" s="6"/>
      <c r="F6" s="6"/>
      <c r="G6" s="6"/>
      <c r="H6" s="6"/>
      <c r="I6" s="6"/>
      <c r="J6" s="6"/>
      <c r="K6" s="6"/>
      <c r="L6" s="6"/>
      <c r="M6" s="6"/>
      <c r="N6" s="6"/>
      <c r="O6" s="6"/>
      <c r="P6" s="6"/>
      <c r="Q6" s="6"/>
      <c r="R6" s="6"/>
      <c r="S6" s="6"/>
      <c r="T6" s="6"/>
      <c r="U6" s="6"/>
      <c r="V6" s="6"/>
      <c r="W6" s="6"/>
      <c r="X6" s="6"/>
      <c r="Y6" s="6"/>
      <c r="Z6" s="6"/>
      <c r="AA6" s="6"/>
    </row>
    <row r="7">
      <c r="A7" s="7" t="s">
        <v>5</v>
      </c>
      <c r="B7" s="6"/>
      <c r="C7" s="6"/>
      <c r="D7" s="6"/>
      <c r="E7" s="6"/>
      <c r="F7" s="6"/>
      <c r="G7" s="6"/>
      <c r="H7" s="6"/>
      <c r="I7" s="6"/>
      <c r="J7" s="6"/>
      <c r="K7" s="6"/>
      <c r="L7" s="6"/>
      <c r="M7" s="6"/>
      <c r="N7" s="6"/>
      <c r="O7" s="6"/>
      <c r="P7" s="6"/>
      <c r="Q7" s="6"/>
      <c r="R7" s="6"/>
      <c r="S7" s="6"/>
      <c r="T7" s="6"/>
      <c r="U7" s="6"/>
      <c r="V7" s="6"/>
      <c r="W7" s="6"/>
      <c r="X7" s="6"/>
      <c r="Y7" s="6"/>
      <c r="Z7" s="6"/>
      <c r="AA7" s="6"/>
    </row>
    <row r="8">
      <c r="A8" s="8" t="s">
        <v>6</v>
      </c>
      <c r="B8" s="6"/>
      <c r="C8" s="6"/>
      <c r="D8" s="6"/>
      <c r="E8" s="6"/>
      <c r="F8" s="6"/>
      <c r="G8" s="6"/>
      <c r="H8" s="6"/>
      <c r="I8" s="6"/>
      <c r="J8" s="6"/>
      <c r="K8" s="9"/>
      <c r="L8" s="5"/>
      <c r="M8" s="9"/>
      <c r="N8" s="6"/>
      <c r="O8" s="6"/>
      <c r="P8" s="6"/>
      <c r="Q8" s="6"/>
      <c r="R8" s="6"/>
      <c r="S8" s="6"/>
      <c r="T8" s="6"/>
      <c r="U8" s="6"/>
      <c r="V8" s="6"/>
      <c r="W8" s="6"/>
      <c r="X8" s="6"/>
      <c r="Y8" s="6"/>
      <c r="Z8" s="6"/>
      <c r="AA8" s="6"/>
    </row>
    <row r="9">
      <c r="K9" s="4"/>
      <c r="L9" s="4"/>
      <c r="M9" s="10"/>
    </row>
    <row r="10">
      <c r="A10" s="4" t="s">
        <v>7</v>
      </c>
    </row>
    <row r="11">
      <c r="A11" s="4" t="s">
        <v>8</v>
      </c>
    </row>
    <row r="12">
      <c r="A12" s="4" t="s">
        <v>9</v>
      </c>
    </row>
    <row r="13">
      <c r="E13" s="11"/>
      <c r="K13" s="11"/>
    </row>
    <row r="14">
      <c r="B14" s="4" t="s">
        <v>10</v>
      </c>
      <c r="C14" s="4" t="s">
        <v>11</v>
      </c>
      <c r="D14" s="4" t="s">
        <v>12</v>
      </c>
      <c r="E14" s="3" t="s">
        <v>13</v>
      </c>
      <c r="F14" s="4" t="s">
        <v>14</v>
      </c>
    </row>
    <row r="15">
      <c r="A15" s="4" t="s">
        <v>15</v>
      </c>
      <c r="B15" s="4">
        <v>25702.0</v>
      </c>
      <c r="C15" s="12">
        <f t="shared" ref="C15:C17" si="1">B15*0.907185</f>
        <v>23316.46887</v>
      </c>
      <c r="D15" s="12">
        <f t="shared" ref="D15:D17" si="2">C15/1.144</f>
        <v>20381.52873</v>
      </c>
      <c r="E15" s="13">
        <f>D15/D18</f>
        <v>2.01063913</v>
      </c>
      <c r="F15" s="12">
        <f>D15/SUM(D15:D17)</f>
        <v>0.6678446148</v>
      </c>
    </row>
    <row r="16">
      <c r="A16" s="4" t="s">
        <v>16</v>
      </c>
      <c r="B16" s="4">
        <v>1919.0</v>
      </c>
      <c r="C16" s="12">
        <f t="shared" si="1"/>
        <v>1740.888015</v>
      </c>
      <c r="D16" s="12">
        <f t="shared" si="2"/>
        <v>1521.755258</v>
      </c>
    </row>
    <row r="17">
      <c r="A17" s="4" t="s">
        <v>17</v>
      </c>
      <c r="B17" s="4">
        <v>10864.0</v>
      </c>
      <c r="C17" s="12">
        <f t="shared" si="1"/>
        <v>9855.65784</v>
      </c>
      <c r="D17" s="12">
        <f t="shared" si="2"/>
        <v>8615.085524</v>
      </c>
      <c r="E17" s="11"/>
      <c r="K17" s="11"/>
    </row>
    <row r="18">
      <c r="A18" s="4" t="s">
        <v>18</v>
      </c>
      <c r="B18" s="4">
        <f t="shared" ref="B18:D18" si="3">SUM(B16:B17)</f>
        <v>12783</v>
      </c>
      <c r="C18" s="4">
        <f t="shared" si="3"/>
        <v>11596.54586</v>
      </c>
      <c r="D18" s="4">
        <f t="shared" si="3"/>
        <v>10136.84078</v>
      </c>
    </row>
    <row r="19">
      <c r="B19" s="4"/>
      <c r="C19" s="4"/>
      <c r="D19" s="4"/>
    </row>
    <row r="20">
      <c r="B20" s="4" t="s">
        <v>19</v>
      </c>
      <c r="C20" s="4" t="s">
        <v>20</v>
      </c>
      <c r="D20" s="4" t="s">
        <v>21</v>
      </c>
      <c r="E20" s="4" t="s">
        <v>12</v>
      </c>
    </row>
    <row r="21">
      <c r="A21" s="4" t="s">
        <v>22</v>
      </c>
      <c r="B21" s="4">
        <v>160936.0</v>
      </c>
      <c r="C21" s="12">
        <f t="shared" ref="C21:C23" si="4">B21*0.764555</f>
        <v>123044.4235</v>
      </c>
      <c r="D21" s="12">
        <f t="shared" ref="D21:D23" si="5">2.75*C21</f>
        <v>338372.1646</v>
      </c>
      <c r="E21" s="11">
        <f t="shared" ref="E21:E23" si="6">D21/1.144</f>
        <v>295779.8641</v>
      </c>
      <c r="K21" s="11"/>
    </row>
    <row r="22">
      <c r="A22" s="4" t="s">
        <v>23</v>
      </c>
      <c r="B22" s="4">
        <v>102700.0</v>
      </c>
      <c r="C22" s="12">
        <f t="shared" si="4"/>
        <v>78519.7985</v>
      </c>
      <c r="D22" s="12">
        <f t="shared" si="5"/>
        <v>215929.4459</v>
      </c>
      <c r="E22" s="11">
        <f t="shared" si="6"/>
        <v>188749.5156</v>
      </c>
      <c r="K22" s="11"/>
    </row>
    <row r="23">
      <c r="A23" s="4" t="s">
        <v>24</v>
      </c>
      <c r="B23" s="12">
        <f>SUM(B21:B22)</f>
        <v>263636</v>
      </c>
      <c r="C23" s="12">
        <f t="shared" si="4"/>
        <v>201564.222</v>
      </c>
      <c r="D23" s="12">
        <f t="shared" si="5"/>
        <v>554301.6104</v>
      </c>
      <c r="E23" s="11">
        <f t="shared" si="6"/>
        <v>484529.3798</v>
      </c>
    </row>
    <row r="24">
      <c r="E24" s="11"/>
      <c r="K24" s="11"/>
    </row>
    <row r="25">
      <c r="B25" s="4" t="s">
        <v>25</v>
      </c>
      <c r="C25" s="4" t="s">
        <v>11</v>
      </c>
      <c r="D25" s="4" t="s">
        <v>12</v>
      </c>
      <c r="E25" s="14" t="s">
        <v>26</v>
      </c>
      <c r="F25" s="4" t="s">
        <v>27</v>
      </c>
      <c r="K25" s="11"/>
    </row>
    <row r="26">
      <c r="A26" s="4" t="s">
        <v>28</v>
      </c>
      <c r="B26" s="4">
        <v>2076833.0</v>
      </c>
      <c r="C26" s="12">
        <f t="shared" ref="C26:C29" si="7">B26*0.000453592</f>
        <v>942.0348341</v>
      </c>
      <c r="D26" s="11">
        <f t="shared" ref="D26:D29" si="8">C26/1.144</f>
        <v>823.4570228</v>
      </c>
      <c r="E26" s="13">
        <f>D30/D31</f>
        <v>7.564871993</v>
      </c>
      <c r="F26" s="12">
        <f>D30/E34</f>
        <v>0.8832440227</v>
      </c>
    </row>
    <row r="27">
      <c r="A27" s="4" t="s">
        <v>29</v>
      </c>
      <c r="B27" s="4">
        <v>683057.0</v>
      </c>
      <c r="C27" s="12">
        <f t="shared" si="7"/>
        <v>309.8291907</v>
      </c>
      <c r="D27" s="11">
        <f t="shared" si="8"/>
        <v>270.8297122</v>
      </c>
    </row>
    <row r="28">
      <c r="A28" s="4" t="s">
        <v>30</v>
      </c>
      <c r="B28" s="4">
        <v>7703790.0</v>
      </c>
      <c r="C28" s="12">
        <f t="shared" si="7"/>
        <v>3494.377514</v>
      </c>
      <c r="D28" s="11">
        <f t="shared" si="8"/>
        <v>3054.525799</v>
      </c>
    </row>
    <row r="29">
      <c r="A29" s="4" t="s">
        <v>31</v>
      </c>
      <c r="B29" s="4">
        <v>609843.0</v>
      </c>
      <c r="C29" s="12">
        <f t="shared" si="7"/>
        <v>276.6199061</v>
      </c>
      <c r="D29" s="11">
        <f t="shared" si="8"/>
        <v>241.8006172</v>
      </c>
    </row>
    <row r="30">
      <c r="A30" s="4" t="s">
        <v>32</v>
      </c>
      <c r="B30" s="12">
        <f t="shared" ref="B30:D30" si="9">SUM(B26,B28)</f>
        <v>9780623</v>
      </c>
      <c r="C30" s="12">
        <f t="shared" si="9"/>
        <v>4436.412348</v>
      </c>
      <c r="D30" s="12">
        <f t="shared" si="9"/>
        <v>3877.982822</v>
      </c>
    </row>
    <row r="31">
      <c r="A31" s="4" t="s">
        <v>33</v>
      </c>
      <c r="B31" s="12">
        <f t="shared" ref="B31:D31" si="10">SUM(B27,B29)</f>
        <v>1292900</v>
      </c>
      <c r="C31" s="12">
        <f t="shared" si="10"/>
        <v>586.4490968</v>
      </c>
      <c r="D31" s="12">
        <f t="shared" si="10"/>
        <v>512.6303294</v>
      </c>
    </row>
    <row r="33">
      <c r="A33" s="4"/>
      <c r="B33" s="4" t="s">
        <v>12</v>
      </c>
      <c r="E33" s="4" t="s">
        <v>12</v>
      </c>
    </row>
    <row r="34">
      <c r="A34" s="4" t="s">
        <v>34</v>
      </c>
      <c r="B34" s="12">
        <f>E23</f>
        <v>484529.3798</v>
      </c>
      <c r="D34" s="4" t="s">
        <v>35</v>
      </c>
      <c r="E34" s="12">
        <f>SUM(D30:D31)</f>
        <v>4390.613151</v>
      </c>
    </row>
    <row r="35">
      <c r="A35" s="4" t="s">
        <v>36</v>
      </c>
      <c r="B35" s="12">
        <f>D15</f>
        <v>20381.52873</v>
      </c>
      <c r="D35" s="4" t="s">
        <v>37</v>
      </c>
      <c r="E35" s="12">
        <f>SUM(D15,D18)</f>
        <v>30518.36951</v>
      </c>
    </row>
    <row r="36">
      <c r="A36" s="4" t="s">
        <v>18</v>
      </c>
      <c r="B36" s="12">
        <f>SUM(D18,D31)</f>
        <v>10649.47111</v>
      </c>
      <c r="D36" s="3" t="s">
        <v>38</v>
      </c>
      <c r="E36" s="13">
        <f>E34/B38</f>
        <v>0.1257731625</v>
      </c>
    </row>
    <row r="37">
      <c r="A37" s="4" t="s">
        <v>39</v>
      </c>
      <c r="B37" s="12">
        <f>SUM(D30)</f>
        <v>3877.982822</v>
      </c>
    </row>
    <row r="38">
      <c r="A38" s="4" t="s">
        <v>40</v>
      </c>
      <c r="B38" s="12">
        <f>SUM(B35:B37)</f>
        <v>34908.98267</v>
      </c>
    </row>
    <row r="39">
      <c r="A39" s="4"/>
    </row>
    <row r="40">
      <c r="A40" s="4" t="s">
        <v>41</v>
      </c>
    </row>
    <row r="41">
      <c r="A41" s="4"/>
    </row>
    <row r="42">
      <c r="A42" s="3" t="s">
        <v>42</v>
      </c>
      <c r="B42" s="13"/>
      <c r="C42" s="13"/>
      <c r="D42" s="13"/>
      <c r="E42" s="13"/>
      <c r="F42" s="13"/>
    </row>
    <row r="43">
      <c r="A43" s="3" t="s">
        <v>43</v>
      </c>
      <c r="B43" s="13"/>
      <c r="C43" s="13"/>
      <c r="D43" s="13"/>
      <c r="E43" s="13"/>
      <c r="F43" s="13"/>
    </row>
    <row r="44">
      <c r="A44" s="3" t="s">
        <v>44</v>
      </c>
      <c r="B44" s="13"/>
      <c r="C44" s="13"/>
      <c r="D44" s="13"/>
      <c r="E44" s="13"/>
      <c r="F44" s="13"/>
    </row>
    <row r="45">
      <c r="A45" s="3" t="s">
        <v>45</v>
      </c>
      <c r="B45" s="13"/>
      <c r="C45" s="13"/>
      <c r="D45" s="13"/>
      <c r="E45" s="13"/>
      <c r="F45" s="13"/>
    </row>
    <row r="46">
      <c r="A46" s="4"/>
    </row>
    <row r="47">
      <c r="A47" s="5" t="s">
        <v>46</v>
      </c>
      <c r="B47" s="6"/>
      <c r="C47" s="6"/>
      <c r="D47" s="6"/>
      <c r="E47" s="6"/>
      <c r="F47" s="6"/>
      <c r="G47" s="6"/>
      <c r="H47" s="6"/>
      <c r="I47" s="6"/>
      <c r="J47" s="6"/>
      <c r="K47" s="6"/>
      <c r="L47" s="6"/>
      <c r="M47" s="6"/>
      <c r="N47" s="6"/>
      <c r="O47" s="6"/>
      <c r="P47" s="6"/>
      <c r="Q47" s="6"/>
      <c r="R47" s="6"/>
      <c r="S47" s="6"/>
      <c r="T47" s="6"/>
      <c r="U47" s="6"/>
      <c r="V47" s="6"/>
      <c r="W47" s="6"/>
      <c r="X47" s="6"/>
      <c r="Y47" s="6"/>
      <c r="Z47" s="6"/>
      <c r="AA47" s="6"/>
    </row>
    <row r="48">
      <c r="A48" s="8" t="s">
        <v>47</v>
      </c>
      <c r="B48" s="6"/>
      <c r="C48" s="6"/>
      <c r="D48" s="6"/>
      <c r="E48" s="6"/>
      <c r="F48" s="6"/>
      <c r="G48" s="6"/>
      <c r="H48" s="6"/>
      <c r="I48" s="6"/>
      <c r="J48" s="6"/>
      <c r="K48" s="6"/>
      <c r="L48" s="6"/>
      <c r="M48" s="6"/>
      <c r="N48" s="6"/>
      <c r="O48" s="6"/>
      <c r="P48" s="6"/>
      <c r="Q48" s="6"/>
      <c r="R48" s="6"/>
      <c r="S48" s="6"/>
      <c r="T48" s="6"/>
      <c r="U48" s="6"/>
      <c r="V48" s="6"/>
      <c r="W48" s="6"/>
      <c r="X48" s="6"/>
      <c r="Y48" s="6"/>
      <c r="Z48" s="6"/>
      <c r="AA48" s="6"/>
    </row>
    <row r="49">
      <c r="A49" s="5" t="s">
        <v>48</v>
      </c>
      <c r="B49" s="6"/>
      <c r="C49" s="6"/>
      <c r="D49" s="6"/>
      <c r="E49" s="6"/>
      <c r="F49" s="6"/>
      <c r="G49" s="6"/>
      <c r="H49" s="6"/>
      <c r="I49" s="6"/>
      <c r="J49" s="6"/>
      <c r="K49" s="6"/>
      <c r="L49" s="6"/>
      <c r="M49" s="6"/>
      <c r="N49" s="6"/>
      <c r="O49" s="6"/>
      <c r="P49" s="6"/>
      <c r="Q49" s="6"/>
      <c r="R49" s="6"/>
      <c r="S49" s="6"/>
      <c r="T49" s="6"/>
      <c r="U49" s="6"/>
      <c r="V49" s="6"/>
      <c r="W49" s="6"/>
      <c r="X49" s="6"/>
      <c r="Y49" s="6"/>
      <c r="Z49" s="6"/>
      <c r="AA49" s="6"/>
    </row>
    <row r="50">
      <c r="A50" s="4">
        <v>2022.0</v>
      </c>
    </row>
    <row r="51">
      <c r="A51" s="4" t="s">
        <v>49</v>
      </c>
    </row>
    <row r="52">
      <c r="A52" s="4" t="s">
        <v>50</v>
      </c>
    </row>
    <row r="54">
      <c r="C54" s="4" t="s">
        <v>51</v>
      </c>
      <c r="I54" s="4" t="s">
        <v>52</v>
      </c>
    </row>
    <row r="55">
      <c r="C55" s="4" t="s">
        <v>53</v>
      </c>
      <c r="D55" s="4" t="s">
        <v>54</v>
      </c>
      <c r="E55" s="4" t="s">
        <v>55</v>
      </c>
      <c r="F55" s="4" t="s">
        <v>56</v>
      </c>
      <c r="G55" s="4" t="s">
        <v>57</v>
      </c>
      <c r="H55" s="4" t="s">
        <v>58</v>
      </c>
      <c r="I55" s="4" t="s">
        <v>53</v>
      </c>
      <c r="J55" s="4" t="s">
        <v>54</v>
      </c>
      <c r="K55" s="4" t="s">
        <v>55</v>
      </c>
      <c r="L55" s="4" t="s">
        <v>56</v>
      </c>
      <c r="M55" s="4" t="s">
        <v>57</v>
      </c>
      <c r="N55" s="4" t="s">
        <v>58</v>
      </c>
    </row>
    <row r="56">
      <c r="A56" s="4" t="s">
        <v>59</v>
      </c>
      <c r="B56" s="15" t="s">
        <v>60</v>
      </c>
      <c r="C56" s="4">
        <v>125.0</v>
      </c>
      <c r="D56" s="4">
        <v>75.0</v>
      </c>
      <c r="E56" s="12">
        <f t="shared" ref="E56:E63" si="11">C56-D56</f>
        <v>50</v>
      </c>
      <c r="F56" s="4">
        <v>32.0</v>
      </c>
      <c r="G56" s="4">
        <v>21.0</v>
      </c>
      <c r="H56" s="12">
        <f t="shared" ref="H56:H63" si="12">F56-G56</f>
        <v>11</v>
      </c>
      <c r="I56" s="4">
        <v>90.0</v>
      </c>
      <c r="J56" s="4">
        <v>50.0</v>
      </c>
      <c r="K56" s="12">
        <f t="shared" ref="K56:K63" si="13">I56-J56</f>
        <v>40</v>
      </c>
      <c r="L56" s="4">
        <v>22.0</v>
      </c>
      <c r="M56" s="4">
        <v>14.0</v>
      </c>
      <c r="N56" s="12">
        <f t="shared" ref="N56:N63" si="14">L56-M56</f>
        <v>8</v>
      </c>
    </row>
    <row r="57">
      <c r="A57" s="4" t="s">
        <v>61</v>
      </c>
      <c r="B57" s="15" t="s">
        <v>62</v>
      </c>
      <c r="C57" s="4">
        <v>70.0</v>
      </c>
      <c r="D57" s="4">
        <v>40.0</v>
      </c>
      <c r="E57" s="12">
        <f t="shared" si="11"/>
        <v>30</v>
      </c>
      <c r="F57" s="4">
        <v>27.0</v>
      </c>
      <c r="G57" s="4">
        <v>19.0</v>
      </c>
      <c r="H57" s="12">
        <f t="shared" si="12"/>
        <v>8</v>
      </c>
      <c r="I57" s="4">
        <v>50.0</v>
      </c>
      <c r="J57" s="4">
        <v>30.0</v>
      </c>
      <c r="K57" s="12">
        <f t="shared" si="13"/>
        <v>20</v>
      </c>
      <c r="L57" s="4">
        <v>20.0</v>
      </c>
      <c r="M57" s="4">
        <v>15.0</v>
      </c>
      <c r="N57" s="12">
        <f t="shared" si="14"/>
        <v>5</v>
      </c>
    </row>
    <row r="58">
      <c r="A58" s="4" t="s">
        <v>63</v>
      </c>
      <c r="B58" s="15" t="s">
        <v>64</v>
      </c>
      <c r="C58" s="4">
        <v>245.0</v>
      </c>
      <c r="D58" s="4">
        <v>120.0</v>
      </c>
      <c r="E58" s="12">
        <f t="shared" si="11"/>
        <v>125</v>
      </c>
      <c r="F58" s="4">
        <v>67.0</v>
      </c>
      <c r="G58" s="4">
        <v>42.0</v>
      </c>
      <c r="H58" s="12">
        <f t="shared" si="12"/>
        <v>25</v>
      </c>
      <c r="I58" s="4">
        <v>180.0</v>
      </c>
      <c r="J58" s="4">
        <v>80.0</v>
      </c>
      <c r="K58" s="12">
        <f t="shared" si="13"/>
        <v>100</v>
      </c>
      <c r="L58" s="4">
        <v>47.0</v>
      </c>
      <c r="M58" s="4">
        <v>28.0</v>
      </c>
      <c r="N58" s="12">
        <f t="shared" si="14"/>
        <v>19</v>
      </c>
    </row>
    <row r="59">
      <c r="A59" s="4" t="s">
        <v>65</v>
      </c>
      <c r="B59" s="15" t="s">
        <v>66</v>
      </c>
      <c r="C59" s="4">
        <v>195.0</v>
      </c>
      <c r="D59" s="4">
        <v>155.0</v>
      </c>
      <c r="E59" s="12">
        <f t="shared" si="11"/>
        <v>40</v>
      </c>
      <c r="F59" s="4">
        <v>60.0</v>
      </c>
      <c r="G59" s="4">
        <v>54.0</v>
      </c>
      <c r="H59" s="12">
        <f t="shared" si="12"/>
        <v>6</v>
      </c>
      <c r="I59" s="4">
        <v>145.0</v>
      </c>
      <c r="J59" s="4">
        <v>110.0</v>
      </c>
      <c r="K59" s="12">
        <f t="shared" si="13"/>
        <v>35</v>
      </c>
      <c r="L59" s="4">
        <v>46.0</v>
      </c>
      <c r="M59" s="4">
        <v>42.0</v>
      </c>
      <c r="N59" s="12">
        <f t="shared" si="14"/>
        <v>4</v>
      </c>
    </row>
    <row r="60">
      <c r="A60" s="4" t="s">
        <v>67</v>
      </c>
      <c r="B60" s="15" t="s">
        <v>68</v>
      </c>
      <c r="C60" s="4">
        <v>175.0</v>
      </c>
      <c r="D60" s="4">
        <v>110.0</v>
      </c>
      <c r="E60" s="12">
        <f t="shared" si="11"/>
        <v>65</v>
      </c>
      <c r="F60" s="4">
        <v>40.0</v>
      </c>
      <c r="G60" s="4">
        <v>28.0</v>
      </c>
      <c r="H60" s="12">
        <f t="shared" si="12"/>
        <v>12</v>
      </c>
      <c r="I60" s="4">
        <v>125.0</v>
      </c>
      <c r="J60" s="4">
        <v>75.0</v>
      </c>
      <c r="K60" s="12">
        <f t="shared" si="13"/>
        <v>50</v>
      </c>
      <c r="L60" s="4">
        <v>28.0</v>
      </c>
      <c r="M60" s="4">
        <v>19.0</v>
      </c>
      <c r="N60" s="12">
        <f t="shared" si="14"/>
        <v>9</v>
      </c>
    </row>
    <row r="61">
      <c r="A61" s="4" t="s">
        <v>69</v>
      </c>
      <c r="B61" s="15" t="s">
        <v>70</v>
      </c>
      <c r="C61" s="4">
        <v>210.0</v>
      </c>
      <c r="D61" s="4">
        <v>160.0</v>
      </c>
      <c r="E61" s="12">
        <f t="shared" si="11"/>
        <v>50</v>
      </c>
      <c r="F61" s="4">
        <v>52.0</v>
      </c>
      <c r="G61" s="4">
        <v>38.0</v>
      </c>
      <c r="H61" s="12">
        <f t="shared" si="12"/>
        <v>14</v>
      </c>
      <c r="I61" s="4">
        <v>150.0</v>
      </c>
      <c r="J61" s="4">
        <v>115.0</v>
      </c>
      <c r="K61" s="12">
        <f t="shared" si="13"/>
        <v>35</v>
      </c>
      <c r="L61" s="4">
        <v>37.0</v>
      </c>
      <c r="M61" s="4">
        <v>28.0</v>
      </c>
      <c r="N61" s="12">
        <f t="shared" si="14"/>
        <v>9</v>
      </c>
    </row>
    <row r="62">
      <c r="A62" s="4" t="s">
        <v>71</v>
      </c>
      <c r="B62" s="15" t="s">
        <v>72</v>
      </c>
      <c r="C62" s="4">
        <v>200.0</v>
      </c>
      <c r="D62" s="4">
        <v>100.0</v>
      </c>
      <c r="E62" s="12">
        <f t="shared" si="11"/>
        <v>100</v>
      </c>
      <c r="F62" s="4">
        <v>43.0</v>
      </c>
      <c r="G62" s="4">
        <v>21.0</v>
      </c>
      <c r="H62" s="12">
        <f t="shared" si="12"/>
        <v>22</v>
      </c>
      <c r="I62" s="4">
        <v>140.0</v>
      </c>
      <c r="J62" s="4">
        <v>65.0</v>
      </c>
      <c r="K62" s="12">
        <f t="shared" si="13"/>
        <v>75</v>
      </c>
      <c r="L62" s="4">
        <v>30.0</v>
      </c>
      <c r="M62" s="4">
        <v>13.0</v>
      </c>
      <c r="N62" s="12">
        <f t="shared" si="14"/>
        <v>17</v>
      </c>
    </row>
    <row r="63">
      <c r="A63" s="4" t="s">
        <v>73</v>
      </c>
      <c r="B63" s="15" t="s">
        <v>74</v>
      </c>
      <c r="C63" s="4">
        <v>190.0</v>
      </c>
      <c r="D63" s="4">
        <v>95.0</v>
      </c>
      <c r="E63" s="12">
        <f t="shared" si="11"/>
        <v>95</v>
      </c>
      <c r="F63" s="4">
        <v>55.0</v>
      </c>
      <c r="G63" s="4">
        <v>34.0</v>
      </c>
      <c r="H63" s="12">
        <f t="shared" si="12"/>
        <v>21</v>
      </c>
      <c r="I63" s="4">
        <v>135.0</v>
      </c>
      <c r="J63" s="4">
        <v>60.0</v>
      </c>
      <c r="K63" s="12">
        <f t="shared" si="13"/>
        <v>75</v>
      </c>
      <c r="L63" s="4">
        <v>38.0</v>
      </c>
      <c r="M63" s="4">
        <v>23.0</v>
      </c>
      <c r="N63" s="12">
        <f t="shared" si="14"/>
        <v>15</v>
      </c>
    </row>
    <row r="64">
      <c r="A64" s="4" t="s">
        <v>75</v>
      </c>
    </row>
    <row r="65">
      <c r="A65" s="4" t="s">
        <v>76</v>
      </c>
      <c r="B65" s="4"/>
      <c r="C65" s="4"/>
    </row>
    <row r="66">
      <c r="B66" s="4"/>
      <c r="C66" s="4"/>
    </row>
    <row r="67">
      <c r="A67" s="4" t="s">
        <v>77</v>
      </c>
      <c r="B67" s="4" t="s">
        <v>78</v>
      </c>
      <c r="C67" s="4" t="s">
        <v>79</v>
      </c>
      <c r="E67" s="3" t="s">
        <v>43</v>
      </c>
    </row>
    <row r="68">
      <c r="A68" s="4" t="s">
        <v>80</v>
      </c>
      <c r="B68" s="12">
        <f>D57/C57</f>
        <v>0.5714285714</v>
      </c>
      <c r="C68" s="12">
        <f>D60/C60</f>
        <v>0.6285714286</v>
      </c>
      <c r="E68" s="3" t="s">
        <v>44</v>
      </c>
    </row>
    <row r="69">
      <c r="A69" s="4" t="s">
        <v>81</v>
      </c>
      <c r="B69" s="12">
        <f>D57*1000</f>
        <v>40000</v>
      </c>
      <c r="C69" s="12">
        <f>D60*1000</f>
        <v>110000</v>
      </c>
      <c r="E69" s="3" t="s">
        <v>45</v>
      </c>
    </row>
    <row r="70">
      <c r="A70" s="4" t="s">
        <v>82</v>
      </c>
      <c r="B70" s="12">
        <f>E57*1000</f>
        <v>30000</v>
      </c>
      <c r="C70" s="12">
        <f>E60*1000</f>
        <v>65000</v>
      </c>
    </row>
    <row r="71">
      <c r="A71" s="4" t="s">
        <v>83</v>
      </c>
      <c r="B71" s="12">
        <f t="shared" ref="B71:C71" si="15">SUM(B69:B70)</f>
        <v>70000</v>
      </c>
      <c r="C71" s="12">
        <f t="shared" si="15"/>
        <v>175000</v>
      </c>
      <c r="E71" s="3" t="s">
        <v>84</v>
      </c>
      <c r="F71" s="3" t="s">
        <v>78</v>
      </c>
      <c r="G71" s="3" t="s">
        <v>79</v>
      </c>
    </row>
    <row r="72">
      <c r="A72" s="4" t="s">
        <v>85</v>
      </c>
      <c r="B72" s="12">
        <f>G57/F57</f>
        <v>0.7037037037</v>
      </c>
      <c r="C72" s="12">
        <f>G60/F60</f>
        <v>0.7</v>
      </c>
      <c r="E72" s="3" t="s">
        <v>86</v>
      </c>
      <c r="F72" s="13">
        <f t="shared" ref="F72:G72" si="16">0.126*0.883*B75</f>
        <v>3003.966</v>
      </c>
      <c r="G72" s="13">
        <f t="shared" si="16"/>
        <v>4450.32</v>
      </c>
    </row>
    <row r="73">
      <c r="A73" s="4" t="s">
        <v>87</v>
      </c>
      <c r="B73" s="12">
        <f>G57*1000</f>
        <v>19000</v>
      </c>
      <c r="C73" s="12">
        <f>G60*1000</f>
        <v>28000</v>
      </c>
      <c r="E73" s="3" t="s">
        <v>88</v>
      </c>
      <c r="F73" s="13">
        <f t="shared" ref="F73:G73" si="17">(0.126*0.117*B75)+(0.874*0.332*B75)</f>
        <v>8232.57</v>
      </c>
      <c r="G73" s="13">
        <f t="shared" si="17"/>
        <v>12196.4</v>
      </c>
    </row>
    <row r="74">
      <c r="A74" s="4" t="s">
        <v>89</v>
      </c>
      <c r="B74" s="12">
        <f>H57*1000</f>
        <v>8000</v>
      </c>
      <c r="C74" s="12">
        <f>H60*1000</f>
        <v>12000</v>
      </c>
      <c r="E74" s="3" t="s">
        <v>90</v>
      </c>
      <c r="F74" s="13">
        <f t="shared" ref="F74:G74" si="18">(0.874*0.668*B75)</f>
        <v>15763.464</v>
      </c>
      <c r="G74" s="13">
        <f t="shared" si="18"/>
        <v>23353.28</v>
      </c>
    </row>
    <row r="75">
      <c r="A75" s="4" t="s">
        <v>91</v>
      </c>
      <c r="B75" s="12">
        <f t="shared" ref="B75:C75" si="19">SUM(B73:B74)</f>
        <v>27000</v>
      </c>
      <c r="C75" s="12">
        <f t="shared" si="19"/>
        <v>40000</v>
      </c>
      <c r="E75" s="3" t="s">
        <v>92</v>
      </c>
      <c r="F75" s="13">
        <f t="shared" ref="F75:G75" si="20">SUM(F72:F74)</f>
        <v>27000</v>
      </c>
      <c r="G75" s="13">
        <f t="shared" si="20"/>
        <v>40000</v>
      </c>
    </row>
    <row r="76">
      <c r="E76" s="3" t="s">
        <v>93</v>
      </c>
      <c r="F76" s="13">
        <f t="shared" ref="F76:G76" si="21">B71*2.75</f>
        <v>192500</v>
      </c>
      <c r="G76" s="13">
        <f t="shared" si="21"/>
        <v>481250</v>
      </c>
    </row>
    <row r="77">
      <c r="A77" s="4"/>
    </row>
    <row r="78">
      <c r="A78" s="4"/>
    </row>
    <row r="79">
      <c r="A79" s="5" t="s">
        <v>94</v>
      </c>
      <c r="B79" s="6"/>
      <c r="C79" s="6"/>
      <c r="D79" s="6"/>
      <c r="E79" s="6"/>
      <c r="F79" s="6"/>
      <c r="G79" s="6"/>
      <c r="H79" s="6"/>
      <c r="I79" s="6"/>
      <c r="J79" s="6"/>
      <c r="K79" s="6"/>
      <c r="L79" s="6"/>
      <c r="M79" s="6"/>
      <c r="N79" s="6"/>
      <c r="O79" s="6"/>
      <c r="P79" s="6"/>
      <c r="Q79" s="6"/>
      <c r="R79" s="6"/>
      <c r="S79" s="6"/>
      <c r="T79" s="6"/>
      <c r="U79" s="6"/>
      <c r="V79" s="6"/>
      <c r="W79" s="6"/>
      <c r="X79" s="6"/>
      <c r="Y79" s="6"/>
      <c r="Z79" s="6"/>
      <c r="AA79" s="6"/>
    </row>
    <row r="80">
      <c r="A80" s="8" t="s">
        <v>95</v>
      </c>
      <c r="B80" s="6"/>
      <c r="C80" s="6"/>
      <c r="D80" s="6"/>
      <c r="E80" s="6"/>
      <c r="F80" s="6"/>
      <c r="G80" s="6"/>
      <c r="H80" s="6"/>
      <c r="I80" s="6"/>
      <c r="J80" s="6"/>
      <c r="K80" s="6"/>
      <c r="L80" s="6"/>
      <c r="M80" s="6"/>
      <c r="N80" s="6"/>
      <c r="O80" s="6"/>
      <c r="P80" s="6"/>
      <c r="Q80" s="6"/>
      <c r="R80" s="6"/>
      <c r="S80" s="6"/>
      <c r="T80" s="6"/>
      <c r="U80" s="6"/>
      <c r="V80" s="6"/>
      <c r="W80" s="6"/>
      <c r="X80" s="6"/>
      <c r="Y80" s="6"/>
      <c r="Z80" s="6"/>
      <c r="AA80" s="6"/>
    </row>
    <row r="81">
      <c r="A81" s="4" t="s">
        <v>96</v>
      </c>
      <c r="E81" s="4" t="s">
        <v>97</v>
      </c>
    </row>
    <row r="82">
      <c r="A82" s="4" t="s">
        <v>98</v>
      </c>
    </row>
    <row r="83">
      <c r="A83" s="13"/>
      <c r="B83" s="3" t="s">
        <v>11</v>
      </c>
    </row>
    <row r="84">
      <c r="A84" s="3" t="s">
        <v>99</v>
      </c>
      <c r="B84" s="3">
        <v>417.0</v>
      </c>
    </row>
    <row r="86">
      <c r="A86" s="5" t="s">
        <v>100</v>
      </c>
      <c r="B86" s="6"/>
      <c r="C86" s="6"/>
      <c r="D86" s="6"/>
      <c r="E86" s="6"/>
      <c r="F86" s="6"/>
      <c r="G86" s="6"/>
      <c r="H86" s="6"/>
      <c r="I86" s="6"/>
      <c r="J86" s="6"/>
      <c r="K86" s="6"/>
      <c r="L86" s="6"/>
      <c r="M86" s="6"/>
      <c r="N86" s="6"/>
      <c r="O86" s="6"/>
      <c r="P86" s="6"/>
      <c r="Q86" s="6"/>
      <c r="R86" s="6"/>
      <c r="S86" s="6"/>
      <c r="T86" s="6"/>
      <c r="U86" s="6"/>
      <c r="V86" s="6"/>
      <c r="W86" s="6"/>
      <c r="X86" s="6"/>
      <c r="Y86" s="6"/>
      <c r="Z86" s="6"/>
    </row>
    <row r="87">
      <c r="A87" s="7" t="s">
        <v>101</v>
      </c>
      <c r="B87" s="6"/>
      <c r="C87" s="6"/>
      <c r="D87" s="6"/>
      <c r="E87" s="6"/>
      <c r="F87" s="6"/>
      <c r="G87" s="6"/>
      <c r="H87" s="6"/>
      <c r="I87" s="6"/>
      <c r="J87" s="6"/>
      <c r="K87" s="6"/>
      <c r="L87" s="6"/>
      <c r="M87" s="6"/>
      <c r="N87" s="6"/>
      <c r="O87" s="6"/>
      <c r="P87" s="6"/>
      <c r="Q87" s="6"/>
      <c r="R87" s="6"/>
      <c r="S87" s="6"/>
      <c r="T87" s="6"/>
      <c r="U87" s="6"/>
      <c r="V87" s="6"/>
      <c r="W87" s="6"/>
      <c r="X87" s="6"/>
      <c r="Y87" s="6"/>
      <c r="Z87" s="6"/>
    </row>
    <row r="89">
      <c r="B89" s="4" t="s">
        <v>79</v>
      </c>
    </row>
    <row r="90">
      <c r="A90" s="4" t="s">
        <v>102</v>
      </c>
      <c r="B90" s="4">
        <v>4870.0</v>
      </c>
    </row>
    <row r="91">
      <c r="A91" s="4" t="s">
        <v>103</v>
      </c>
      <c r="B91" s="4">
        <v>250.0</v>
      </c>
    </row>
    <row r="92">
      <c r="A92" s="4" t="s">
        <v>104</v>
      </c>
      <c r="B92" s="4">
        <v>13083.0</v>
      </c>
    </row>
    <row r="93">
      <c r="A93" s="4" t="s">
        <v>105</v>
      </c>
      <c r="B93" s="4" t="s">
        <v>106</v>
      </c>
    </row>
    <row r="94">
      <c r="A94" s="4" t="s">
        <v>107</v>
      </c>
      <c r="B94" s="3">
        <v>520.0</v>
      </c>
    </row>
    <row r="95">
      <c r="A95" s="4" t="s">
        <v>108</v>
      </c>
      <c r="B95" s="4" t="s">
        <v>109</v>
      </c>
    </row>
    <row r="97">
      <c r="A97" s="16" t="s">
        <v>110</v>
      </c>
      <c r="D97" s="17"/>
      <c r="E97" s="17"/>
      <c r="F97" s="17"/>
      <c r="G97" s="17"/>
      <c r="H97" s="17"/>
      <c r="I97" s="17"/>
      <c r="J97" s="6"/>
      <c r="K97" s="6"/>
      <c r="L97" s="6"/>
      <c r="M97" s="6"/>
      <c r="N97" s="6"/>
      <c r="O97" s="6"/>
      <c r="P97" s="6"/>
      <c r="Q97" s="6"/>
      <c r="R97" s="6"/>
      <c r="S97" s="6"/>
      <c r="T97" s="6"/>
      <c r="U97" s="6"/>
      <c r="V97" s="6"/>
      <c r="W97" s="6"/>
      <c r="X97" s="6"/>
      <c r="Y97" s="6"/>
      <c r="Z97" s="6"/>
      <c r="AA97" s="6"/>
    </row>
    <row r="98">
      <c r="A98" s="18" t="s">
        <v>111</v>
      </c>
      <c r="D98" s="19"/>
      <c r="E98" s="19"/>
      <c r="F98" s="19"/>
      <c r="G98" s="19"/>
      <c r="H98" s="19"/>
      <c r="I98" s="19"/>
    </row>
    <row r="99">
      <c r="A99" s="15" t="s">
        <v>112</v>
      </c>
      <c r="G99" s="19"/>
      <c r="H99" s="19"/>
      <c r="I99" s="19"/>
    </row>
    <row r="100">
      <c r="A100" s="20" t="s">
        <v>113</v>
      </c>
      <c r="B100" s="15"/>
      <c r="C100" s="15"/>
      <c r="D100" s="15"/>
      <c r="E100" s="15"/>
      <c r="F100" s="15"/>
      <c r="G100" s="15"/>
      <c r="H100" s="19"/>
      <c r="I100" s="19"/>
    </row>
    <row r="101">
      <c r="A101" s="19"/>
      <c r="B101" s="15"/>
      <c r="C101" s="15"/>
      <c r="D101" s="15"/>
      <c r="E101" s="15"/>
      <c r="F101" s="15"/>
      <c r="G101" s="15"/>
      <c r="H101" s="19"/>
      <c r="I101" s="19"/>
    </row>
    <row r="102">
      <c r="A102" s="4" t="s">
        <v>114</v>
      </c>
      <c r="B102" s="15"/>
      <c r="C102" s="15"/>
      <c r="D102" s="15"/>
      <c r="E102" s="15"/>
      <c r="F102" s="15"/>
      <c r="G102" s="15"/>
      <c r="H102" s="19"/>
      <c r="I102" s="19"/>
    </row>
    <row r="103">
      <c r="A103" s="21" t="s">
        <v>115</v>
      </c>
      <c r="B103" s="15"/>
      <c r="C103" s="15"/>
      <c r="D103" s="15"/>
      <c r="E103" s="15"/>
      <c r="F103" s="15"/>
      <c r="G103" s="15"/>
      <c r="H103" s="19"/>
      <c r="I103" s="19"/>
    </row>
    <row r="104">
      <c r="A104" s="20" t="s">
        <v>116</v>
      </c>
      <c r="B104" s="15"/>
      <c r="C104" s="15"/>
      <c r="D104" s="15"/>
      <c r="E104" s="15"/>
      <c r="F104" s="15"/>
      <c r="G104" s="15"/>
      <c r="H104" s="19"/>
      <c r="I104" s="19"/>
    </row>
    <row r="105">
      <c r="A105" s="19"/>
      <c r="B105" s="15"/>
      <c r="C105" s="15"/>
      <c r="D105" s="15"/>
      <c r="E105" s="15"/>
      <c r="F105" s="15"/>
      <c r="G105" s="15"/>
      <c r="H105" s="19"/>
      <c r="I105" s="19"/>
    </row>
    <row r="106">
      <c r="B106" s="4" t="s">
        <v>117</v>
      </c>
      <c r="C106" s="4"/>
      <c r="D106" s="4"/>
      <c r="E106" s="4"/>
      <c r="F106" s="4"/>
      <c r="G106" s="4"/>
      <c r="H106" s="4" t="s">
        <v>118</v>
      </c>
      <c r="I106" s="4"/>
      <c r="J106" s="4"/>
      <c r="K106" s="4" t="s">
        <v>119</v>
      </c>
      <c r="N106" s="4" t="s">
        <v>120</v>
      </c>
    </row>
    <row r="107">
      <c r="B107" s="4" t="s">
        <v>121</v>
      </c>
      <c r="C107" s="4" t="s">
        <v>122</v>
      </c>
      <c r="D107" s="4" t="s">
        <v>123</v>
      </c>
      <c r="E107" s="4" t="s">
        <v>124</v>
      </c>
      <c r="F107" s="4" t="s">
        <v>125</v>
      </c>
      <c r="G107" s="4" t="s">
        <v>126</v>
      </c>
      <c r="H107" s="4" t="s">
        <v>121</v>
      </c>
      <c r="I107" s="4" t="s">
        <v>122</v>
      </c>
      <c r="J107" s="4" t="s">
        <v>124</v>
      </c>
      <c r="K107" s="4" t="s">
        <v>121</v>
      </c>
      <c r="L107" s="4" t="s">
        <v>122</v>
      </c>
      <c r="M107" s="4" t="s">
        <v>124</v>
      </c>
      <c r="N107" s="4" t="s">
        <v>121</v>
      </c>
      <c r="O107" s="4" t="s">
        <v>122</v>
      </c>
      <c r="P107" s="4" t="s">
        <v>124</v>
      </c>
    </row>
    <row r="108">
      <c r="A108" s="4" t="s">
        <v>127</v>
      </c>
      <c r="B108" s="4">
        <v>74867.0</v>
      </c>
      <c r="C108" s="4">
        <f t="shared" ref="C108:C116" si="22">B108*2.75</f>
        <v>205884.25</v>
      </c>
      <c r="D108" s="4">
        <v>36069.0</v>
      </c>
      <c r="E108" s="4">
        <v>36989.0</v>
      </c>
      <c r="F108" s="4">
        <f t="shared" ref="F108:F116" si="23">E108-D108</f>
        <v>920</v>
      </c>
      <c r="G108" s="4">
        <v>9595.0</v>
      </c>
      <c r="H108" s="4">
        <v>191293.0</v>
      </c>
      <c r="I108" s="12">
        <f t="shared" ref="I108:I147" si="24">H108*2.75</f>
        <v>526055.75</v>
      </c>
      <c r="J108" s="4">
        <v>63439.0</v>
      </c>
      <c r="K108" s="4">
        <v>104231.0</v>
      </c>
      <c r="L108" s="12">
        <f t="shared" ref="L108:L147" si="25">K108*2.75</f>
        <v>286635.25</v>
      </c>
      <c r="M108" s="4">
        <v>50099.0</v>
      </c>
      <c r="N108" s="4">
        <v>204498.0</v>
      </c>
      <c r="O108" s="12">
        <f t="shared" ref="O108:O147" si="26">N108*2.75</f>
        <v>562369.5</v>
      </c>
      <c r="P108" s="4">
        <v>70903.0</v>
      </c>
    </row>
    <row r="109">
      <c r="A109" s="4" t="s">
        <v>128</v>
      </c>
      <c r="B109" s="4">
        <v>43702.0</v>
      </c>
      <c r="C109" s="4">
        <f t="shared" si="22"/>
        <v>120180.5</v>
      </c>
      <c r="D109" s="4">
        <v>15078.0</v>
      </c>
      <c r="E109" s="4">
        <v>15300.0</v>
      </c>
      <c r="F109" s="4">
        <f t="shared" si="23"/>
        <v>222</v>
      </c>
      <c r="G109" s="4"/>
      <c r="H109" s="4">
        <v>101722.0</v>
      </c>
      <c r="I109" s="12">
        <f t="shared" si="24"/>
        <v>279735.5</v>
      </c>
      <c r="J109" s="4">
        <v>28840.0</v>
      </c>
      <c r="K109" s="4">
        <v>41167.0</v>
      </c>
      <c r="L109" s="12">
        <f t="shared" si="25"/>
        <v>113209.25</v>
      </c>
      <c r="M109" s="4">
        <v>18260.0</v>
      </c>
      <c r="N109" s="4">
        <v>157830.0</v>
      </c>
      <c r="O109" s="12">
        <f t="shared" si="26"/>
        <v>434032.5</v>
      </c>
      <c r="P109" s="4">
        <v>39470.0</v>
      </c>
    </row>
    <row r="110">
      <c r="A110" s="4" t="s">
        <v>129</v>
      </c>
      <c r="B110" s="4">
        <v>31165.0</v>
      </c>
      <c r="C110" s="4">
        <f t="shared" si="22"/>
        <v>85703.75</v>
      </c>
      <c r="D110" s="4">
        <v>20991.0</v>
      </c>
      <c r="E110" s="4">
        <v>21688.0</v>
      </c>
      <c r="F110" s="4">
        <f t="shared" si="23"/>
        <v>697</v>
      </c>
      <c r="G110" s="4"/>
      <c r="H110" s="4">
        <v>89571.0</v>
      </c>
      <c r="I110" s="12">
        <f t="shared" si="24"/>
        <v>246320.25</v>
      </c>
      <c r="J110" s="4">
        <v>34599.0</v>
      </c>
      <c r="K110" s="4">
        <v>63064.0</v>
      </c>
      <c r="L110" s="12">
        <f t="shared" si="25"/>
        <v>173426</v>
      </c>
      <c r="M110" s="4">
        <v>31840.0</v>
      </c>
      <c r="N110" s="4">
        <v>46667.0</v>
      </c>
      <c r="O110" s="12">
        <f t="shared" si="26"/>
        <v>128334.25</v>
      </c>
      <c r="P110" s="4">
        <v>31432.0</v>
      </c>
    </row>
    <row r="111">
      <c r="A111" s="22" t="s">
        <v>130</v>
      </c>
      <c r="B111" s="4">
        <v>61030.0</v>
      </c>
      <c r="C111" s="4">
        <f t="shared" si="22"/>
        <v>167832.5</v>
      </c>
      <c r="D111" s="4">
        <v>17362.0</v>
      </c>
      <c r="E111" s="4">
        <v>17433.0</v>
      </c>
      <c r="F111" s="4">
        <f t="shared" si="23"/>
        <v>71</v>
      </c>
      <c r="G111" s="4">
        <v>8610.0</v>
      </c>
      <c r="H111" s="4">
        <v>173402.0</v>
      </c>
      <c r="I111" s="12">
        <f t="shared" si="24"/>
        <v>476855.5</v>
      </c>
      <c r="J111" s="4">
        <v>39299.0</v>
      </c>
      <c r="K111" s="4">
        <v>85074.0</v>
      </c>
      <c r="L111" s="12">
        <f t="shared" si="25"/>
        <v>233953.5</v>
      </c>
      <c r="M111" s="4">
        <v>24533.0</v>
      </c>
      <c r="N111" s="4">
        <v>183961.0</v>
      </c>
      <c r="O111" s="12">
        <f t="shared" si="26"/>
        <v>505892.75</v>
      </c>
      <c r="P111" s="4">
        <v>43400.0</v>
      </c>
    </row>
    <row r="112">
      <c r="A112" s="4" t="s">
        <v>131</v>
      </c>
      <c r="B112" s="4">
        <v>2036.0</v>
      </c>
      <c r="C112" s="4">
        <f t="shared" si="22"/>
        <v>5599</v>
      </c>
      <c r="D112" s="4">
        <v>1711.0</v>
      </c>
      <c r="E112" s="4">
        <v>1713.0</v>
      </c>
      <c r="F112" s="4">
        <f t="shared" si="23"/>
        <v>2</v>
      </c>
      <c r="G112" s="4">
        <v>100.0</v>
      </c>
      <c r="H112" s="4">
        <v>3055.0</v>
      </c>
      <c r="I112" s="12">
        <f t="shared" si="24"/>
        <v>8401.25</v>
      </c>
      <c r="J112" s="4">
        <v>2766.0</v>
      </c>
      <c r="K112" s="4">
        <v>2475.0</v>
      </c>
      <c r="L112" s="12">
        <f t="shared" si="25"/>
        <v>6806.25</v>
      </c>
      <c r="M112" s="4">
        <v>2140.0</v>
      </c>
      <c r="N112" s="4">
        <v>3649.0</v>
      </c>
      <c r="O112" s="12">
        <f t="shared" si="26"/>
        <v>10034.75</v>
      </c>
      <c r="P112" s="4">
        <v>3436.0</v>
      </c>
    </row>
    <row r="113">
      <c r="A113" s="4" t="s">
        <v>132</v>
      </c>
      <c r="B113" s="4">
        <v>22637.0</v>
      </c>
      <c r="C113" s="4">
        <f t="shared" si="22"/>
        <v>62251.75</v>
      </c>
      <c r="D113" s="4">
        <v>7571.0</v>
      </c>
      <c r="E113" s="4">
        <v>7581.0</v>
      </c>
      <c r="F113" s="4">
        <f t="shared" si="23"/>
        <v>10</v>
      </c>
      <c r="G113" s="4">
        <v>5761.0</v>
      </c>
      <c r="H113" s="4">
        <v>67540.0</v>
      </c>
      <c r="I113" s="12">
        <f t="shared" si="24"/>
        <v>185735</v>
      </c>
      <c r="J113" s="4">
        <v>18541.0</v>
      </c>
      <c r="K113" s="4">
        <v>29200.0</v>
      </c>
      <c r="L113" s="12">
        <f t="shared" si="25"/>
        <v>80300</v>
      </c>
      <c r="M113" s="4">
        <v>8923.0</v>
      </c>
      <c r="N113" s="4">
        <v>61900.0</v>
      </c>
      <c r="O113" s="12">
        <f t="shared" si="26"/>
        <v>170225</v>
      </c>
      <c r="P113" s="4">
        <v>18488.0</v>
      </c>
    </row>
    <row r="114">
      <c r="A114" s="4" t="s">
        <v>133</v>
      </c>
      <c r="B114" s="22">
        <v>6638.0</v>
      </c>
      <c r="C114" s="4">
        <f t="shared" si="22"/>
        <v>18254.5</v>
      </c>
      <c r="D114" s="22">
        <v>3838.0</v>
      </c>
      <c r="E114" s="22">
        <v>3841.0</v>
      </c>
      <c r="F114" s="4">
        <f t="shared" si="23"/>
        <v>3</v>
      </c>
      <c r="G114" s="22">
        <v>381.0</v>
      </c>
      <c r="H114" s="22">
        <v>61149.0</v>
      </c>
      <c r="I114" s="23">
        <f t="shared" si="24"/>
        <v>168159.75</v>
      </c>
      <c r="J114" s="22">
        <v>12598.0</v>
      </c>
      <c r="K114" s="22">
        <v>33807.0</v>
      </c>
      <c r="L114" s="23">
        <f t="shared" si="25"/>
        <v>92969.25</v>
      </c>
      <c r="M114" s="22">
        <v>8214.0</v>
      </c>
      <c r="N114" s="4">
        <v>9759.0</v>
      </c>
      <c r="O114" s="12">
        <f t="shared" si="26"/>
        <v>26837.25</v>
      </c>
      <c r="P114" s="4">
        <v>4311.0</v>
      </c>
    </row>
    <row r="115">
      <c r="A115" s="4" t="s">
        <v>134</v>
      </c>
      <c r="B115" s="4">
        <v>5506.0</v>
      </c>
      <c r="C115" s="4">
        <f t="shared" si="22"/>
        <v>15141.5</v>
      </c>
      <c r="D115" s="4">
        <v>337.0</v>
      </c>
      <c r="E115" s="4">
        <v>338.0</v>
      </c>
      <c r="F115" s="4">
        <f t="shared" si="23"/>
        <v>1</v>
      </c>
      <c r="G115" s="4">
        <v>254.0</v>
      </c>
      <c r="H115" s="4">
        <v>4630.0</v>
      </c>
      <c r="I115" s="12">
        <f t="shared" si="24"/>
        <v>12732.5</v>
      </c>
      <c r="J115" s="4">
        <v>439.0</v>
      </c>
      <c r="K115" s="4">
        <v>4957.0</v>
      </c>
      <c r="L115" s="12">
        <f t="shared" si="25"/>
        <v>13631.75</v>
      </c>
      <c r="M115" s="4">
        <v>470.0</v>
      </c>
      <c r="N115" s="4">
        <v>8095.0</v>
      </c>
      <c r="O115" s="12">
        <f t="shared" si="26"/>
        <v>22261.25</v>
      </c>
      <c r="P115" s="4">
        <v>700.0</v>
      </c>
    </row>
    <row r="116">
      <c r="A116" s="4" t="s">
        <v>135</v>
      </c>
      <c r="B116" s="4">
        <v>14115.0</v>
      </c>
      <c r="C116" s="4">
        <f t="shared" si="22"/>
        <v>38816.25</v>
      </c>
      <c r="D116" s="4">
        <v>1469.0</v>
      </c>
      <c r="E116" s="4">
        <v>1469.0</v>
      </c>
      <c r="F116" s="4">
        <f t="shared" si="23"/>
        <v>0</v>
      </c>
      <c r="G116" s="4">
        <v>1179.0</v>
      </c>
      <c r="H116" s="4">
        <v>22070.0</v>
      </c>
      <c r="I116" s="12">
        <f t="shared" si="24"/>
        <v>60692.5</v>
      </c>
      <c r="J116" s="4">
        <v>2093.0</v>
      </c>
      <c r="L116" s="12">
        <f t="shared" si="25"/>
        <v>0</v>
      </c>
      <c r="N116" s="4">
        <v>14500.0</v>
      </c>
      <c r="O116" s="12">
        <f t="shared" si="26"/>
        <v>39875</v>
      </c>
      <c r="P116" s="4">
        <v>1616.0</v>
      </c>
    </row>
    <row r="117">
      <c r="A117" s="4" t="s">
        <v>136</v>
      </c>
      <c r="B117" s="4" t="s">
        <v>137</v>
      </c>
      <c r="C117" s="4" t="s">
        <v>137</v>
      </c>
      <c r="D117" s="4" t="s">
        <v>137</v>
      </c>
      <c r="E117" s="4" t="s">
        <v>137</v>
      </c>
      <c r="F117" s="4" t="s">
        <v>137</v>
      </c>
      <c r="G117" s="4" t="s">
        <v>137</v>
      </c>
      <c r="I117" s="12">
        <f t="shared" si="24"/>
        <v>0</v>
      </c>
      <c r="L117" s="12">
        <f t="shared" si="25"/>
        <v>0</v>
      </c>
      <c r="N117" s="4">
        <v>12600.0</v>
      </c>
      <c r="O117" s="12">
        <f t="shared" si="26"/>
        <v>34650</v>
      </c>
      <c r="P117" s="4">
        <v>929.0</v>
      </c>
    </row>
    <row r="118">
      <c r="A118" s="4" t="s">
        <v>138</v>
      </c>
      <c r="B118" s="4">
        <v>2985.0</v>
      </c>
      <c r="C118" s="4">
        <f t="shared" ref="C118:C119" si="27">B118*2.75</f>
        <v>8208.75</v>
      </c>
      <c r="D118" s="4">
        <v>429.0</v>
      </c>
      <c r="E118" s="4">
        <v>430.0</v>
      </c>
      <c r="F118" s="4">
        <f t="shared" ref="F118:F119" si="28">E118-D118</f>
        <v>1</v>
      </c>
      <c r="G118" s="4">
        <v>200.0</v>
      </c>
      <c r="H118" s="4">
        <v>8800.0</v>
      </c>
      <c r="I118" s="12">
        <f t="shared" si="24"/>
        <v>24200</v>
      </c>
      <c r="J118" s="4">
        <v>835.0</v>
      </c>
      <c r="K118" s="4">
        <v>8800.0</v>
      </c>
      <c r="L118" s="12">
        <f t="shared" si="25"/>
        <v>24200</v>
      </c>
      <c r="M118" s="4">
        <v>835.0</v>
      </c>
      <c r="N118" s="4">
        <v>23700.0</v>
      </c>
      <c r="O118" s="12">
        <f t="shared" si="26"/>
        <v>65175</v>
      </c>
      <c r="P118" s="4">
        <v>3131.0</v>
      </c>
    </row>
    <row r="119">
      <c r="A119" s="4" t="s">
        <v>139</v>
      </c>
      <c r="B119" s="4">
        <v>7113.0</v>
      </c>
      <c r="C119" s="4">
        <f t="shared" si="27"/>
        <v>19560.75</v>
      </c>
      <c r="D119" s="4">
        <v>2008.0</v>
      </c>
      <c r="E119" s="4">
        <v>2061.0</v>
      </c>
      <c r="F119" s="4">
        <f t="shared" si="28"/>
        <v>53</v>
      </c>
      <c r="G119" s="4">
        <v>735.0</v>
      </c>
      <c r="H119" s="4">
        <v>6158.0</v>
      </c>
      <c r="I119" s="12">
        <f t="shared" si="24"/>
        <v>16934.5</v>
      </c>
      <c r="J119" s="4">
        <v>2028.0</v>
      </c>
      <c r="K119" s="4">
        <v>5835.0</v>
      </c>
      <c r="L119" s="12">
        <f t="shared" si="25"/>
        <v>16046.25</v>
      </c>
      <c r="M119" s="4">
        <v>3952.0</v>
      </c>
      <c r="N119" s="4">
        <v>10458.0</v>
      </c>
      <c r="O119" s="12">
        <f t="shared" si="26"/>
        <v>28759.5</v>
      </c>
      <c r="P119" s="4">
        <v>4505.0</v>
      </c>
    </row>
    <row r="120">
      <c r="A120" s="4" t="s">
        <v>140</v>
      </c>
      <c r="B120" s="4" t="s">
        <v>137</v>
      </c>
      <c r="C120" s="4" t="s">
        <v>137</v>
      </c>
      <c r="D120" s="4" t="s">
        <v>137</v>
      </c>
      <c r="E120" s="4" t="s">
        <v>137</v>
      </c>
      <c r="F120" s="4" t="s">
        <v>137</v>
      </c>
      <c r="G120" s="4"/>
      <c r="H120" s="4"/>
      <c r="I120" s="12">
        <f t="shared" si="24"/>
        <v>0</v>
      </c>
      <c r="J120" s="4"/>
      <c r="K120" s="4"/>
      <c r="L120" s="12">
        <f t="shared" si="25"/>
        <v>0</v>
      </c>
      <c r="M120" s="4"/>
      <c r="N120" s="4">
        <v>5835.0</v>
      </c>
      <c r="O120" s="12">
        <f t="shared" si="26"/>
        <v>16046.25</v>
      </c>
      <c r="P120" s="4">
        <v>6283.0</v>
      </c>
    </row>
    <row r="121">
      <c r="A121" s="22" t="s">
        <v>141</v>
      </c>
      <c r="B121" s="4">
        <v>409.0</v>
      </c>
      <c r="C121" s="4">
        <f t="shared" ref="C121:C147" si="29">B121*2.75</f>
        <v>1124.75</v>
      </c>
      <c r="D121" s="4">
        <v>4605.0</v>
      </c>
      <c r="E121" s="4">
        <v>4790.0</v>
      </c>
      <c r="F121" s="4">
        <f t="shared" ref="F121:F147" si="30">E121-D121</f>
        <v>185</v>
      </c>
      <c r="G121" s="4"/>
      <c r="H121" s="4">
        <v>233.0</v>
      </c>
      <c r="I121" s="12">
        <f t="shared" si="24"/>
        <v>640.75</v>
      </c>
      <c r="J121" s="4">
        <v>6357.0</v>
      </c>
      <c r="K121" s="4">
        <v>250.0</v>
      </c>
      <c r="L121" s="12">
        <f t="shared" si="25"/>
        <v>687.5</v>
      </c>
      <c r="M121" s="4">
        <v>6526.0</v>
      </c>
      <c r="N121" s="4">
        <v>601.0</v>
      </c>
      <c r="O121" s="12">
        <f t="shared" si="26"/>
        <v>1652.75</v>
      </c>
      <c r="P121" s="4">
        <v>6770.0</v>
      </c>
    </row>
    <row r="122">
      <c r="A122" s="4" t="s">
        <v>142</v>
      </c>
      <c r="B122" s="4">
        <v>56.0</v>
      </c>
      <c r="C122" s="4">
        <f t="shared" si="29"/>
        <v>154</v>
      </c>
      <c r="D122" s="4">
        <v>705.0</v>
      </c>
      <c r="E122" s="4">
        <v>712.0</v>
      </c>
      <c r="F122" s="4">
        <f t="shared" si="30"/>
        <v>7</v>
      </c>
      <c r="G122" s="4"/>
      <c r="H122" s="4">
        <v>124.0</v>
      </c>
      <c r="I122" s="12">
        <f t="shared" si="24"/>
        <v>341</v>
      </c>
      <c r="J122" s="4">
        <v>3976.0</v>
      </c>
      <c r="K122" s="4">
        <v>133.0</v>
      </c>
      <c r="L122" s="12">
        <f t="shared" si="25"/>
        <v>365.75</v>
      </c>
      <c r="M122" s="4">
        <v>3976.0</v>
      </c>
      <c r="N122" s="4">
        <v>83.0</v>
      </c>
      <c r="O122" s="12">
        <f t="shared" si="26"/>
        <v>228.25</v>
      </c>
      <c r="P122" s="4">
        <v>1037.0</v>
      </c>
    </row>
    <row r="123">
      <c r="A123" s="4" t="s">
        <v>143</v>
      </c>
      <c r="B123" s="4">
        <v>305.0</v>
      </c>
      <c r="C123" s="4">
        <f t="shared" si="29"/>
        <v>838.75</v>
      </c>
      <c r="D123" s="4">
        <v>1891.0</v>
      </c>
      <c r="E123" s="4">
        <v>2025.0</v>
      </c>
      <c r="F123" s="4">
        <f t="shared" si="30"/>
        <v>134</v>
      </c>
      <c r="G123" s="4"/>
      <c r="H123" s="4">
        <v>49.0</v>
      </c>
      <c r="I123" s="12">
        <f t="shared" si="24"/>
        <v>134.75</v>
      </c>
      <c r="J123" s="4">
        <v>306.0</v>
      </c>
      <c r="K123" s="4">
        <v>53.0</v>
      </c>
      <c r="L123" s="12">
        <f t="shared" si="25"/>
        <v>145.75</v>
      </c>
      <c r="M123" s="4">
        <v>328.0</v>
      </c>
      <c r="N123" s="4">
        <v>449.0</v>
      </c>
      <c r="O123" s="12">
        <f t="shared" si="26"/>
        <v>1234.75</v>
      </c>
      <c r="P123" s="4">
        <v>2780.0</v>
      </c>
    </row>
    <row r="124">
      <c r="A124" s="4" t="s">
        <v>144</v>
      </c>
      <c r="B124" s="4">
        <v>0.0</v>
      </c>
      <c r="C124" s="4">
        <f t="shared" si="29"/>
        <v>0</v>
      </c>
      <c r="D124" s="4">
        <v>474.0</v>
      </c>
      <c r="E124" s="4">
        <v>477.0</v>
      </c>
      <c r="F124" s="4">
        <f t="shared" si="30"/>
        <v>3</v>
      </c>
      <c r="G124" s="4"/>
      <c r="H124" s="4">
        <v>0.0</v>
      </c>
      <c r="I124" s="12">
        <f t="shared" si="24"/>
        <v>0</v>
      </c>
      <c r="J124" s="4">
        <v>0.0</v>
      </c>
      <c r="K124" s="4">
        <v>0.0</v>
      </c>
      <c r="L124" s="12">
        <f t="shared" si="25"/>
        <v>0</v>
      </c>
      <c r="M124" s="4">
        <v>0.0</v>
      </c>
      <c r="N124" s="4">
        <v>0.0</v>
      </c>
      <c r="O124" s="12">
        <f t="shared" si="26"/>
        <v>0</v>
      </c>
      <c r="P124" s="4">
        <v>697.0</v>
      </c>
    </row>
    <row r="125">
      <c r="A125" s="4" t="s">
        <v>145</v>
      </c>
      <c r="B125" s="4">
        <v>0.0</v>
      </c>
      <c r="C125" s="4">
        <f t="shared" si="29"/>
        <v>0</v>
      </c>
      <c r="D125" s="4">
        <v>68.0</v>
      </c>
      <c r="E125" s="4">
        <v>68.0</v>
      </c>
      <c r="F125" s="4">
        <f t="shared" si="30"/>
        <v>0</v>
      </c>
      <c r="G125" s="4"/>
      <c r="H125" s="4">
        <v>0.0</v>
      </c>
      <c r="I125" s="12">
        <f t="shared" si="24"/>
        <v>0</v>
      </c>
      <c r="J125" s="4">
        <v>221.0</v>
      </c>
      <c r="K125" s="4">
        <v>0.0</v>
      </c>
      <c r="L125" s="12">
        <f t="shared" si="25"/>
        <v>0</v>
      </c>
      <c r="M125" s="4">
        <v>237.0</v>
      </c>
      <c r="N125" s="4">
        <v>0.0</v>
      </c>
      <c r="O125" s="12">
        <f t="shared" si="26"/>
        <v>0</v>
      </c>
      <c r="P125" s="4">
        <v>100.0</v>
      </c>
    </row>
    <row r="126">
      <c r="A126" s="4" t="s">
        <v>146</v>
      </c>
      <c r="B126" s="4">
        <v>5.0</v>
      </c>
      <c r="C126" s="4">
        <f t="shared" si="29"/>
        <v>13.75</v>
      </c>
      <c r="D126" s="4">
        <v>149.0</v>
      </c>
      <c r="E126" s="4">
        <v>149.0</v>
      </c>
      <c r="F126" s="4">
        <f t="shared" si="30"/>
        <v>0</v>
      </c>
      <c r="G126" s="4"/>
      <c r="H126" s="4">
        <v>13.0</v>
      </c>
      <c r="I126" s="12">
        <f t="shared" si="24"/>
        <v>35.75</v>
      </c>
      <c r="J126" s="4">
        <v>367.0</v>
      </c>
      <c r="K126" s="4">
        <v>14.0</v>
      </c>
      <c r="L126" s="12">
        <f t="shared" si="25"/>
        <v>38.5</v>
      </c>
      <c r="M126" s="4">
        <v>393.0</v>
      </c>
      <c r="N126" s="4">
        <v>8.0</v>
      </c>
      <c r="O126" s="12">
        <f t="shared" si="26"/>
        <v>22</v>
      </c>
      <c r="P126" s="4">
        <v>219.0</v>
      </c>
    </row>
    <row r="127">
      <c r="A127" s="4" t="s">
        <v>147</v>
      </c>
      <c r="B127" s="4">
        <v>42.0</v>
      </c>
      <c r="C127" s="4">
        <f t="shared" si="29"/>
        <v>115.5</v>
      </c>
      <c r="D127" s="4">
        <v>1056.0</v>
      </c>
      <c r="E127" s="4">
        <v>1062.0</v>
      </c>
      <c r="F127" s="4">
        <f t="shared" si="30"/>
        <v>6</v>
      </c>
      <c r="G127" s="4"/>
      <c r="H127" s="4">
        <v>47.0</v>
      </c>
      <c r="I127" s="12">
        <f t="shared" si="24"/>
        <v>129.25</v>
      </c>
      <c r="J127" s="4">
        <v>1178.0</v>
      </c>
      <c r="K127" s="4">
        <v>50.0</v>
      </c>
      <c r="L127" s="12">
        <f t="shared" si="25"/>
        <v>137.5</v>
      </c>
      <c r="M127" s="4">
        <v>1262.0</v>
      </c>
      <c r="N127" s="4">
        <v>62.0</v>
      </c>
      <c r="O127" s="12">
        <f t="shared" si="26"/>
        <v>170.5</v>
      </c>
      <c r="P127" s="4">
        <v>1552.0</v>
      </c>
    </row>
    <row r="128">
      <c r="A128" s="4" t="s">
        <v>148</v>
      </c>
      <c r="B128" s="4">
        <v>0.0</v>
      </c>
      <c r="C128" s="4">
        <f t="shared" si="29"/>
        <v>0</v>
      </c>
      <c r="D128" s="4">
        <v>262.0</v>
      </c>
      <c r="E128" s="4">
        <v>297.0</v>
      </c>
      <c r="F128" s="4">
        <f t="shared" si="30"/>
        <v>35</v>
      </c>
      <c r="G128" s="4"/>
      <c r="H128" s="4">
        <v>0.0</v>
      </c>
      <c r="I128" s="12">
        <f t="shared" si="24"/>
        <v>0</v>
      </c>
      <c r="J128" s="4">
        <v>309.0</v>
      </c>
      <c r="K128" s="4">
        <v>0.0</v>
      </c>
      <c r="L128" s="12">
        <f t="shared" si="25"/>
        <v>0</v>
      </c>
      <c r="M128" s="4">
        <v>331.0</v>
      </c>
      <c r="N128" s="4">
        <v>0.0</v>
      </c>
      <c r="O128" s="12">
        <f t="shared" si="26"/>
        <v>0</v>
      </c>
      <c r="P128" s="4">
        <v>386.0</v>
      </c>
    </row>
    <row r="129">
      <c r="A129" s="22" t="s">
        <v>149</v>
      </c>
      <c r="B129" s="4">
        <v>12711.0</v>
      </c>
      <c r="C129" s="4">
        <f t="shared" si="29"/>
        <v>34955.25</v>
      </c>
      <c r="D129" s="4">
        <v>11846.0</v>
      </c>
      <c r="E129" s="4">
        <v>11927.0</v>
      </c>
      <c r="F129" s="4">
        <f t="shared" si="30"/>
        <v>81</v>
      </c>
      <c r="G129" s="4">
        <v>985.0</v>
      </c>
      <c r="H129" s="4">
        <v>16724.0</v>
      </c>
      <c r="I129" s="12">
        <f t="shared" si="24"/>
        <v>45991</v>
      </c>
      <c r="J129" s="4">
        <v>15427.0</v>
      </c>
      <c r="K129" s="4">
        <v>17907.0</v>
      </c>
      <c r="L129" s="12">
        <f t="shared" si="25"/>
        <v>49244.25</v>
      </c>
      <c r="M129" s="4">
        <v>16519.0</v>
      </c>
      <c r="N129" s="4">
        <v>18881.0</v>
      </c>
      <c r="O129" s="12">
        <f t="shared" si="26"/>
        <v>51922.75</v>
      </c>
      <c r="P129" s="4">
        <v>17416.0</v>
      </c>
    </row>
    <row r="130">
      <c r="A130" s="24" t="s">
        <v>150</v>
      </c>
      <c r="B130" s="4">
        <v>4730.0</v>
      </c>
      <c r="C130" s="4">
        <f t="shared" si="29"/>
        <v>13007.5</v>
      </c>
      <c r="D130" s="4">
        <v>4269.0</v>
      </c>
      <c r="E130" s="4">
        <v>4324.0</v>
      </c>
      <c r="F130" s="4">
        <f t="shared" si="30"/>
        <v>55</v>
      </c>
      <c r="G130" s="4">
        <v>454.0</v>
      </c>
      <c r="H130" s="4">
        <v>6251.0</v>
      </c>
      <c r="I130" s="12">
        <f t="shared" si="24"/>
        <v>17190.25</v>
      </c>
      <c r="J130" s="4">
        <v>5559.0</v>
      </c>
      <c r="K130" s="4">
        <v>6693.0</v>
      </c>
      <c r="L130" s="12">
        <f t="shared" si="25"/>
        <v>18405.75</v>
      </c>
      <c r="M130" s="4">
        <v>5953.0</v>
      </c>
      <c r="N130" s="4">
        <v>7057.0</v>
      </c>
      <c r="O130" s="12">
        <f t="shared" si="26"/>
        <v>19406.75</v>
      </c>
      <c r="P130" s="4">
        <v>6276.0</v>
      </c>
    </row>
    <row r="131">
      <c r="A131" s="4" t="s">
        <v>151</v>
      </c>
      <c r="B131" s="4">
        <v>6310.0</v>
      </c>
      <c r="C131" s="4">
        <f t="shared" si="29"/>
        <v>17352.5</v>
      </c>
      <c r="D131" s="4">
        <v>2512.0</v>
      </c>
      <c r="E131" s="4">
        <v>2516.0</v>
      </c>
      <c r="F131" s="4">
        <f t="shared" si="30"/>
        <v>4</v>
      </c>
      <c r="G131" s="4">
        <v>531.0</v>
      </c>
      <c r="H131" s="4">
        <v>8297.0</v>
      </c>
      <c r="I131" s="12">
        <f t="shared" si="24"/>
        <v>22816.75</v>
      </c>
      <c r="J131" s="4">
        <v>3272.0</v>
      </c>
      <c r="K131" s="4">
        <v>8884.0</v>
      </c>
      <c r="L131" s="12">
        <f t="shared" si="25"/>
        <v>24431</v>
      </c>
      <c r="M131" s="4">
        <v>3503.0</v>
      </c>
      <c r="N131" s="4">
        <v>9367.0</v>
      </c>
      <c r="O131" s="12">
        <f t="shared" si="26"/>
        <v>25759.25</v>
      </c>
      <c r="P131" s="4">
        <v>3694.0</v>
      </c>
    </row>
    <row r="132">
      <c r="A132" s="4" t="s">
        <v>152</v>
      </c>
      <c r="B132" s="4">
        <v>534.0</v>
      </c>
      <c r="C132" s="4">
        <f t="shared" si="29"/>
        <v>1468.5</v>
      </c>
      <c r="D132" s="4">
        <v>1753.0</v>
      </c>
      <c r="E132" s="4">
        <v>1756.0</v>
      </c>
      <c r="F132" s="4">
        <f t="shared" si="30"/>
        <v>3</v>
      </c>
      <c r="G132" s="4"/>
      <c r="H132" s="4">
        <v>696.0</v>
      </c>
      <c r="I132" s="12">
        <f t="shared" si="24"/>
        <v>1914</v>
      </c>
      <c r="J132" s="4">
        <v>2283.0</v>
      </c>
      <c r="K132" s="4">
        <v>745.0</v>
      </c>
      <c r="L132" s="12">
        <f t="shared" si="25"/>
        <v>2048.75</v>
      </c>
      <c r="M132" s="4">
        <v>2444.0</v>
      </c>
      <c r="N132" s="4">
        <v>785.0</v>
      </c>
      <c r="O132" s="12">
        <f t="shared" si="26"/>
        <v>2158.75</v>
      </c>
      <c r="P132" s="4">
        <v>2577.0</v>
      </c>
    </row>
    <row r="133">
      <c r="A133" s="4" t="s">
        <v>153</v>
      </c>
      <c r="B133" s="4">
        <v>46.0</v>
      </c>
      <c r="C133" s="4">
        <f t="shared" si="29"/>
        <v>126.5</v>
      </c>
      <c r="D133" s="4">
        <v>1590.0</v>
      </c>
      <c r="E133" s="4">
        <v>1595.0</v>
      </c>
      <c r="F133" s="4">
        <f t="shared" si="30"/>
        <v>5</v>
      </c>
      <c r="G133" s="4"/>
      <c r="H133" s="4">
        <v>60.0</v>
      </c>
      <c r="I133" s="12">
        <f t="shared" si="24"/>
        <v>165</v>
      </c>
      <c r="J133" s="4">
        <v>2070.0</v>
      </c>
      <c r="K133" s="4">
        <v>64.0</v>
      </c>
      <c r="L133" s="12">
        <f t="shared" si="25"/>
        <v>176</v>
      </c>
      <c r="M133" s="4">
        <v>2216.0</v>
      </c>
      <c r="N133" s="4">
        <v>67.0</v>
      </c>
      <c r="O133" s="12">
        <f t="shared" si="26"/>
        <v>184.25</v>
      </c>
      <c r="P133" s="4">
        <v>2337.0</v>
      </c>
    </row>
    <row r="134">
      <c r="A134" s="4" t="s">
        <v>154</v>
      </c>
      <c r="B134" s="4">
        <v>1091.0</v>
      </c>
      <c r="C134" s="4">
        <f t="shared" si="29"/>
        <v>3000.25</v>
      </c>
      <c r="D134" s="4">
        <v>1632.0</v>
      </c>
      <c r="E134" s="4">
        <v>1634.0</v>
      </c>
      <c r="F134" s="4">
        <f t="shared" si="30"/>
        <v>2</v>
      </c>
      <c r="G134" s="4"/>
      <c r="H134" s="4">
        <v>1421.0</v>
      </c>
      <c r="I134" s="12">
        <f t="shared" si="24"/>
        <v>3907.75</v>
      </c>
      <c r="J134" s="4">
        <v>2125.0</v>
      </c>
      <c r="K134" s="4">
        <v>1521.0</v>
      </c>
      <c r="L134" s="12">
        <f t="shared" si="25"/>
        <v>4182.75</v>
      </c>
      <c r="M134" s="4">
        <v>2275.0</v>
      </c>
      <c r="N134" s="4">
        <v>1604.0</v>
      </c>
      <c r="O134" s="12">
        <f t="shared" si="26"/>
        <v>4411</v>
      </c>
      <c r="P134" s="4">
        <v>2399.0</v>
      </c>
    </row>
    <row r="135">
      <c r="A135" s="4" t="s">
        <v>148</v>
      </c>
      <c r="B135" s="4">
        <v>0.0</v>
      </c>
      <c r="C135" s="4">
        <f t="shared" si="29"/>
        <v>0</v>
      </c>
      <c r="D135" s="4">
        <v>91.0</v>
      </c>
      <c r="E135" s="4">
        <v>102.0</v>
      </c>
      <c r="F135" s="4">
        <f t="shared" si="30"/>
        <v>11</v>
      </c>
      <c r="G135" s="4"/>
      <c r="H135" s="4">
        <v>0.0</v>
      </c>
      <c r="I135" s="12">
        <f t="shared" si="24"/>
        <v>0</v>
      </c>
      <c r="J135" s="4">
        <v>119.0</v>
      </c>
      <c r="K135" s="4">
        <v>0.0</v>
      </c>
      <c r="L135" s="12">
        <f t="shared" si="25"/>
        <v>0</v>
      </c>
      <c r="M135" s="4">
        <v>127.0</v>
      </c>
      <c r="N135" s="4">
        <v>0.0</v>
      </c>
      <c r="O135" s="12">
        <f t="shared" si="26"/>
        <v>0</v>
      </c>
      <c r="P135" s="4">
        <v>134.0</v>
      </c>
    </row>
    <row r="136">
      <c r="A136" s="22" t="s">
        <v>155</v>
      </c>
      <c r="B136" s="4">
        <v>526.0</v>
      </c>
      <c r="C136" s="4">
        <f t="shared" si="29"/>
        <v>1446.5</v>
      </c>
      <c r="D136" s="4">
        <v>1397.0</v>
      </c>
      <c r="E136" s="4">
        <v>1968.0</v>
      </c>
      <c r="F136" s="4">
        <f t="shared" si="30"/>
        <v>571</v>
      </c>
      <c r="G136" s="4"/>
      <c r="H136" s="4">
        <v>686.0</v>
      </c>
      <c r="I136" s="12">
        <f t="shared" si="24"/>
        <v>1886.5</v>
      </c>
      <c r="J136" s="4">
        <v>1257.0</v>
      </c>
      <c r="K136" s="4">
        <v>734.0</v>
      </c>
      <c r="L136" s="12">
        <f t="shared" si="25"/>
        <v>2018.5</v>
      </c>
      <c r="M136" s="4">
        <v>1346.0</v>
      </c>
      <c r="N136" s="4">
        <v>774.0</v>
      </c>
      <c r="O136" s="12">
        <f t="shared" si="26"/>
        <v>2128.5</v>
      </c>
      <c r="P136" s="4">
        <v>2053.0</v>
      </c>
    </row>
    <row r="137">
      <c r="A137" s="4" t="s">
        <v>156</v>
      </c>
      <c r="B137" s="4">
        <v>0.0</v>
      </c>
      <c r="C137" s="4">
        <f t="shared" si="29"/>
        <v>0</v>
      </c>
      <c r="D137" s="4">
        <v>32.0</v>
      </c>
      <c r="E137" s="4">
        <v>36.0</v>
      </c>
      <c r="F137" s="4">
        <f t="shared" si="30"/>
        <v>4</v>
      </c>
      <c r="G137" s="4"/>
      <c r="H137" s="4">
        <v>0.0</v>
      </c>
      <c r="I137" s="12">
        <f t="shared" si="24"/>
        <v>0</v>
      </c>
      <c r="J137" s="4">
        <v>40.0</v>
      </c>
      <c r="K137" s="4">
        <v>0.0</v>
      </c>
      <c r="L137" s="12">
        <f t="shared" si="25"/>
        <v>0</v>
      </c>
      <c r="M137" s="4">
        <v>42.0</v>
      </c>
      <c r="N137" s="4">
        <v>0.0</v>
      </c>
      <c r="O137" s="12">
        <f t="shared" si="26"/>
        <v>0</v>
      </c>
      <c r="P137" s="4">
        <v>47.0</v>
      </c>
    </row>
    <row r="138">
      <c r="A138" s="24" t="s">
        <v>157</v>
      </c>
      <c r="B138" s="4">
        <v>53.0</v>
      </c>
      <c r="C138" s="4">
        <f t="shared" si="29"/>
        <v>145.75</v>
      </c>
      <c r="D138" s="4">
        <v>663.0</v>
      </c>
      <c r="E138" s="4">
        <v>690.0</v>
      </c>
      <c r="F138" s="4">
        <f t="shared" si="30"/>
        <v>27</v>
      </c>
      <c r="G138" s="4"/>
      <c r="H138" s="4">
        <v>70.0</v>
      </c>
      <c r="I138" s="12">
        <f t="shared" si="24"/>
        <v>192.5</v>
      </c>
      <c r="J138" s="4">
        <v>852.0</v>
      </c>
      <c r="K138" s="4">
        <v>74.0</v>
      </c>
      <c r="L138" s="12">
        <f t="shared" si="25"/>
        <v>203.5</v>
      </c>
      <c r="M138" s="4">
        <v>912.0</v>
      </c>
      <c r="N138" s="4">
        <v>79.0</v>
      </c>
      <c r="O138" s="12">
        <f t="shared" si="26"/>
        <v>217.25</v>
      </c>
      <c r="P138" s="4">
        <v>974.0</v>
      </c>
    </row>
    <row r="139">
      <c r="A139" s="4" t="s">
        <v>158</v>
      </c>
      <c r="B139" s="4">
        <v>0.0</v>
      </c>
      <c r="C139" s="4">
        <f t="shared" si="29"/>
        <v>0</v>
      </c>
      <c r="D139" s="4">
        <v>87.0</v>
      </c>
      <c r="E139" s="4">
        <v>105.0</v>
      </c>
      <c r="F139" s="4">
        <f t="shared" si="30"/>
        <v>18</v>
      </c>
      <c r="G139" s="4"/>
      <c r="H139" s="4">
        <v>0.0</v>
      </c>
      <c r="I139" s="12">
        <f t="shared" si="24"/>
        <v>0</v>
      </c>
      <c r="J139" s="4">
        <v>113.0</v>
      </c>
      <c r="K139" s="4">
        <v>0.0</v>
      </c>
      <c r="L139" s="12">
        <f t="shared" si="25"/>
        <v>0</v>
      </c>
      <c r="M139" s="4">
        <v>121.0</v>
      </c>
      <c r="N139" s="4">
        <v>0.0</v>
      </c>
      <c r="O139" s="12">
        <f t="shared" si="26"/>
        <v>0</v>
      </c>
      <c r="P139" s="4">
        <v>128.0</v>
      </c>
    </row>
    <row r="140">
      <c r="A140" s="4" t="s">
        <v>159</v>
      </c>
      <c r="B140" s="4">
        <v>0.0</v>
      </c>
      <c r="C140" s="4">
        <f t="shared" si="29"/>
        <v>0</v>
      </c>
      <c r="D140" s="4">
        <v>6.0</v>
      </c>
      <c r="E140" s="4">
        <v>45.0</v>
      </c>
      <c r="F140" s="4">
        <f t="shared" si="30"/>
        <v>39</v>
      </c>
      <c r="G140" s="4"/>
      <c r="H140" s="4">
        <v>0.0</v>
      </c>
      <c r="I140" s="12">
        <f t="shared" si="24"/>
        <v>0</v>
      </c>
      <c r="J140" s="4">
        <v>8.0</v>
      </c>
      <c r="K140" s="4">
        <v>0.0</v>
      </c>
      <c r="L140" s="12">
        <f t="shared" si="25"/>
        <v>0</v>
      </c>
      <c r="M140" s="4">
        <v>8.0</v>
      </c>
      <c r="N140" s="4">
        <v>0.0</v>
      </c>
      <c r="O140" s="12">
        <f t="shared" si="26"/>
        <v>0</v>
      </c>
      <c r="P140" s="4">
        <v>9.0</v>
      </c>
    </row>
    <row r="141">
      <c r="A141" s="4" t="s">
        <v>160</v>
      </c>
      <c r="B141" s="4">
        <v>473.0</v>
      </c>
      <c r="C141" s="4">
        <f t="shared" si="29"/>
        <v>1300.75</v>
      </c>
      <c r="D141" s="4">
        <v>534.0</v>
      </c>
      <c r="E141" s="4">
        <v>534.0</v>
      </c>
      <c r="F141" s="4">
        <f t="shared" si="30"/>
        <v>0</v>
      </c>
      <c r="G141" s="4"/>
      <c r="H141" s="4">
        <v>616.0</v>
      </c>
      <c r="I141" s="12">
        <f t="shared" si="24"/>
        <v>1694</v>
      </c>
      <c r="J141" s="4">
        <v>146.0</v>
      </c>
      <c r="K141" s="4">
        <v>660.0</v>
      </c>
      <c r="L141" s="12">
        <f t="shared" si="25"/>
        <v>1815</v>
      </c>
      <c r="M141" s="4">
        <v>157.0</v>
      </c>
      <c r="N141" s="4">
        <v>695.0</v>
      </c>
      <c r="O141" s="12">
        <f t="shared" si="26"/>
        <v>1911.25</v>
      </c>
      <c r="P141" s="4">
        <v>785.0</v>
      </c>
    </row>
    <row r="142">
      <c r="A142" s="4" t="s">
        <v>161</v>
      </c>
      <c r="B142" s="4">
        <v>0.0</v>
      </c>
      <c r="C142" s="4">
        <f t="shared" si="29"/>
        <v>0</v>
      </c>
      <c r="D142" s="4">
        <v>76.0</v>
      </c>
      <c r="E142" s="4">
        <v>559.0</v>
      </c>
      <c r="F142" s="4">
        <f t="shared" si="30"/>
        <v>483</v>
      </c>
      <c r="G142" s="4"/>
      <c r="H142" s="4">
        <v>0.0</v>
      </c>
      <c r="I142" s="12">
        <f t="shared" si="24"/>
        <v>0</v>
      </c>
      <c r="J142" s="4">
        <v>98.0</v>
      </c>
      <c r="K142" s="4">
        <v>0.0</v>
      </c>
      <c r="L142" s="12">
        <f t="shared" si="25"/>
        <v>0</v>
      </c>
      <c r="M142" s="4">
        <v>105.0</v>
      </c>
      <c r="N142" s="4">
        <v>0.0</v>
      </c>
      <c r="O142" s="12">
        <f t="shared" si="26"/>
        <v>0</v>
      </c>
      <c r="P142" s="4">
        <v>111.0</v>
      </c>
    </row>
    <row r="143">
      <c r="A143" s="22" t="s">
        <v>162</v>
      </c>
      <c r="B143" s="4">
        <v>191.0</v>
      </c>
      <c r="C143" s="4">
        <f t="shared" si="29"/>
        <v>525.25</v>
      </c>
      <c r="D143" s="4">
        <v>859.0</v>
      </c>
      <c r="E143" s="4">
        <v>871.0</v>
      </c>
      <c r="F143" s="4">
        <f t="shared" si="30"/>
        <v>12</v>
      </c>
      <c r="G143" s="4"/>
      <c r="H143" s="4">
        <v>248.0</v>
      </c>
      <c r="I143" s="12">
        <f t="shared" si="24"/>
        <v>682</v>
      </c>
      <c r="J143" s="4">
        <v>1098.0</v>
      </c>
      <c r="K143" s="4">
        <v>266.0</v>
      </c>
      <c r="L143" s="12">
        <f t="shared" si="25"/>
        <v>731.5</v>
      </c>
      <c r="M143" s="4">
        <v>1176.0</v>
      </c>
      <c r="N143" s="4">
        <v>280.0</v>
      </c>
      <c r="O143" s="12">
        <f t="shared" si="26"/>
        <v>770</v>
      </c>
      <c r="P143" s="4">
        <v>1263.0</v>
      </c>
    </row>
    <row r="144">
      <c r="A144" s="4" t="s">
        <v>163</v>
      </c>
      <c r="B144" s="4">
        <v>0.0</v>
      </c>
      <c r="C144" s="4">
        <f t="shared" si="29"/>
        <v>0</v>
      </c>
      <c r="D144" s="4">
        <v>529.0</v>
      </c>
      <c r="E144" s="4">
        <v>530.0</v>
      </c>
      <c r="F144" s="4">
        <f t="shared" si="30"/>
        <v>1</v>
      </c>
      <c r="G144" s="4"/>
      <c r="H144" s="4">
        <v>0.0</v>
      </c>
      <c r="I144" s="12">
        <f t="shared" si="24"/>
        <v>0</v>
      </c>
      <c r="J144" s="4">
        <v>689.0</v>
      </c>
      <c r="K144" s="4">
        <v>0.0</v>
      </c>
      <c r="L144" s="12">
        <f t="shared" si="25"/>
        <v>0</v>
      </c>
      <c r="M144" s="4">
        <v>738.0</v>
      </c>
      <c r="N144" s="4">
        <v>0.0</v>
      </c>
      <c r="O144" s="12">
        <f t="shared" si="26"/>
        <v>0</v>
      </c>
      <c r="P144" s="4">
        <v>778.0</v>
      </c>
    </row>
    <row r="145">
      <c r="A145" s="4" t="s">
        <v>164</v>
      </c>
      <c r="B145" s="4">
        <v>191.0</v>
      </c>
      <c r="C145" s="4">
        <f t="shared" si="29"/>
        <v>525.25</v>
      </c>
      <c r="D145" s="4">
        <v>239.0</v>
      </c>
      <c r="E145" s="4">
        <v>240.0</v>
      </c>
      <c r="F145" s="4">
        <f t="shared" si="30"/>
        <v>1</v>
      </c>
      <c r="G145" s="4"/>
      <c r="H145" s="4">
        <v>248.0</v>
      </c>
      <c r="I145" s="12">
        <f t="shared" si="24"/>
        <v>682</v>
      </c>
      <c r="J145" s="4">
        <v>303.0</v>
      </c>
      <c r="K145" s="4">
        <v>266.0</v>
      </c>
      <c r="L145" s="12">
        <f t="shared" si="25"/>
        <v>731.5</v>
      </c>
      <c r="M145" s="4">
        <v>324.0</v>
      </c>
      <c r="N145" s="4">
        <v>280.0</v>
      </c>
      <c r="O145" s="12">
        <f t="shared" si="26"/>
        <v>770</v>
      </c>
      <c r="P145" s="4">
        <v>351.0</v>
      </c>
    </row>
    <row r="146">
      <c r="A146" s="4" t="s">
        <v>165</v>
      </c>
      <c r="B146" s="4">
        <v>0.0</v>
      </c>
      <c r="C146" s="4">
        <f t="shared" si="29"/>
        <v>0</v>
      </c>
      <c r="D146" s="4">
        <v>5.0</v>
      </c>
      <c r="E146" s="4">
        <v>7.0</v>
      </c>
      <c r="F146" s="4">
        <f t="shared" si="30"/>
        <v>2</v>
      </c>
      <c r="G146" s="4"/>
      <c r="H146" s="4">
        <v>0.0</v>
      </c>
      <c r="I146" s="12">
        <f t="shared" si="24"/>
        <v>0</v>
      </c>
      <c r="J146" s="4">
        <v>6.0</v>
      </c>
      <c r="K146" s="4">
        <v>0.0</v>
      </c>
      <c r="L146" s="12">
        <f t="shared" si="25"/>
        <v>0</v>
      </c>
      <c r="M146" s="4">
        <v>7.0</v>
      </c>
      <c r="N146" s="4">
        <v>0.0</v>
      </c>
      <c r="O146" s="12">
        <f t="shared" si="26"/>
        <v>0</v>
      </c>
      <c r="P146" s="4">
        <v>8.0</v>
      </c>
    </row>
    <row r="147">
      <c r="A147" s="4" t="s">
        <v>166</v>
      </c>
      <c r="B147" s="4">
        <v>0.0</v>
      </c>
      <c r="C147" s="4">
        <f t="shared" si="29"/>
        <v>0</v>
      </c>
      <c r="D147" s="4">
        <v>86.0</v>
      </c>
      <c r="E147" s="4">
        <v>94.0</v>
      </c>
      <c r="F147" s="4">
        <f t="shared" si="30"/>
        <v>8</v>
      </c>
      <c r="G147" s="4"/>
      <c r="H147" s="4">
        <v>0.0</v>
      </c>
      <c r="I147" s="12">
        <f t="shared" si="24"/>
        <v>0</v>
      </c>
      <c r="J147" s="4">
        <v>100.0</v>
      </c>
      <c r="K147" s="4">
        <v>0.0</v>
      </c>
      <c r="L147" s="12">
        <f t="shared" si="25"/>
        <v>0</v>
      </c>
      <c r="M147" s="4">
        <v>107.0</v>
      </c>
      <c r="N147" s="4">
        <v>0.0</v>
      </c>
      <c r="O147" s="12">
        <f t="shared" si="26"/>
        <v>0</v>
      </c>
      <c r="P147" s="4">
        <v>126.0</v>
      </c>
    </row>
    <row r="148">
      <c r="A148" s="4" t="s">
        <v>167</v>
      </c>
    </row>
    <row r="150">
      <c r="B150" s="4" t="s">
        <v>118</v>
      </c>
      <c r="D150" s="4" t="s">
        <v>119</v>
      </c>
      <c r="F150" s="4" t="s">
        <v>120</v>
      </c>
    </row>
    <row r="151">
      <c r="B151" s="4" t="s">
        <v>122</v>
      </c>
      <c r="C151" s="4" t="s">
        <v>124</v>
      </c>
      <c r="D151" s="4" t="s">
        <v>122</v>
      </c>
      <c r="E151" s="4" t="s">
        <v>124</v>
      </c>
      <c r="F151" s="4" t="s">
        <v>122</v>
      </c>
      <c r="G151" s="4" t="s">
        <v>124</v>
      </c>
    </row>
    <row r="152">
      <c r="A152" s="4" t="s">
        <v>168</v>
      </c>
      <c r="B152" s="12">
        <f>H110/1.38</f>
        <v>64906.52174</v>
      </c>
      <c r="C152" s="12">
        <f>J110/1.38</f>
        <v>25071.73913</v>
      </c>
      <c r="D152" s="12">
        <f>K110/1.5</f>
        <v>42042.66667</v>
      </c>
      <c r="E152" s="12">
        <f>M110/1.5</f>
        <v>21226.66667</v>
      </c>
      <c r="F152" s="12">
        <f>N110/1.6</f>
        <v>29166.875</v>
      </c>
      <c r="G152" s="12">
        <f>P110/1.6</f>
        <v>19645</v>
      </c>
    </row>
    <row r="154">
      <c r="B154" s="4" t="s">
        <v>117</v>
      </c>
      <c r="C154" s="4"/>
      <c r="D154" s="4"/>
      <c r="E154" s="4"/>
      <c r="F154" s="4"/>
      <c r="G154" s="4"/>
      <c r="H154" s="4"/>
      <c r="I154" s="4"/>
      <c r="J154" s="4" t="s">
        <v>120</v>
      </c>
    </row>
    <row r="155">
      <c r="B155" s="4" t="s">
        <v>121</v>
      </c>
      <c r="C155" s="4" t="s">
        <v>122</v>
      </c>
      <c r="D155" s="4" t="s">
        <v>123</v>
      </c>
      <c r="E155" s="4" t="s">
        <v>124</v>
      </c>
      <c r="F155" s="4" t="s">
        <v>125</v>
      </c>
      <c r="G155" s="4" t="s">
        <v>126</v>
      </c>
      <c r="H155" s="4"/>
      <c r="I155" s="4"/>
      <c r="J155" s="4" t="s">
        <v>121</v>
      </c>
      <c r="K155" s="4" t="s">
        <v>122</v>
      </c>
      <c r="L155" s="4" t="s">
        <v>124</v>
      </c>
    </row>
    <row r="156">
      <c r="A156" s="4" t="s">
        <v>142</v>
      </c>
      <c r="B156" s="12">
        <f>B122</f>
        <v>56</v>
      </c>
      <c r="C156" s="12">
        <f t="shared" ref="C156:C158" si="32">B156*2.75</f>
        <v>154</v>
      </c>
      <c r="D156" s="12">
        <f t="shared" ref="D156:G156" si="31">D122</f>
        <v>705</v>
      </c>
      <c r="E156" s="12">
        <f t="shared" si="31"/>
        <v>712</v>
      </c>
      <c r="F156" s="12">
        <f t="shared" si="31"/>
        <v>7</v>
      </c>
      <c r="G156" s="12" t="str">
        <f t="shared" si="31"/>
        <v/>
      </c>
      <c r="H156" s="4"/>
      <c r="I156" s="4" t="s">
        <v>142</v>
      </c>
      <c r="J156" s="12">
        <f>N122</f>
        <v>83</v>
      </c>
      <c r="K156" s="12">
        <f t="shared" ref="K156:K158" si="34">J156*2.75</f>
        <v>228.25</v>
      </c>
      <c r="L156" s="12">
        <f>P122</f>
        <v>1037</v>
      </c>
    </row>
    <row r="157">
      <c r="A157" s="4" t="s">
        <v>169</v>
      </c>
      <c r="B157" s="12">
        <f>SUM(B123:B128,B129,B136,B143)</f>
        <v>13780</v>
      </c>
      <c r="C157" s="12">
        <f t="shared" si="32"/>
        <v>37895</v>
      </c>
      <c r="D157" s="12">
        <f t="shared" ref="D157:G157" si="33">SUM(D123:D128,D129,D136,D143)</f>
        <v>18002</v>
      </c>
      <c r="E157" s="12">
        <f t="shared" si="33"/>
        <v>18844</v>
      </c>
      <c r="F157" s="12">
        <f t="shared" si="33"/>
        <v>842</v>
      </c>
      <c r="G157" s="12">
        <f t="shared" si="33"/>
        <v>985</v>
      </c>
      <c r="H157" s="4"/>
      <c r="I157" s="4" t="s">
        <v>169</v>
      </c>
      <c r="J157" s="12">
        <f>SUM(N121,N129,N136,N143)-J156</f>
        <v>20453</v>
      </c>
      <c r="K157" s="12">
        <f t="shared" si="34"/>
        <v>56245.75</v>
      </c>
      <c r="L157" s="12">
        <f>SUM(P121,P129,P136,P143)-L156</f>
        <v>26465</v>
      </c>
    </row>
    <row r="158">
      <c r="A158" s="4" t="s">
        <v>170</v>
      </c>
      <c r="B158" s="4">
        <v>0.0</v>
      </c>
      <c r="C158" s="12">
        <f t="shared" si="32"/>
        <v>0</v>
      </c>
      <c r="D158" s="12">
        <f t="shared" ref="D158:E158" si="35">417/1.114</f>
        <v>374.3267504</v>
      </c>
      <c r="E158" s="12">
        <f t="shared" si="35"/>
        <v>374.3267504</v>
      </c>
      <c r="F158" s="4">
        <v>0.0</v>
      </c>
      <c r="G158" s="4">
        <v>0.0</v>
      </c>
      <c r="H158" s="4"/>
      <c r="I158" s="4" t="s">
        <v>171</v>
      </c>
      <c r="J158" s="4">
        <v>0.0</v>
      </c>
      <c r="K158" s="12">
        <f t="shared" si="34"/>
        <v>0</v>
      </c>
      <c r="L158" s="12">
        <f>520/1.6</f>
        <v>325</v>
      </c>
    </row>
    <row r="160">
      <c r="A160" s="13"/>
      <c r="B160" s="3" t="s">
        <v>172</v>
      </c>
      <c r="I160" s="13"/>
      <c r="J160" s="3" t="s">
        <v>172</v>
      </c>
    </row>
    <row r="161">
      <c r="A161" s="3" t="s">
        <v>173</v>
      </c>
      <c r="B161" s="13">
        <f>SUM(D156:D157)-D158-G157</f>
        <v>17347.67325</v>
      </c>
      <c r="D161" s="4" t="s">
        <v>174</v>
      </c>
      <c r="E161" s="4" t="s">
        <v>175</v>
      </c>
      <c r="I161" s="3" t="s">
        <v>173</v>
      </c>
      <c r="J161" s="13">
        <f>0.904*(L157+L156-L158)</f>
        <v>24568.008</v>
      </c>
    </row>
    <row r="162">
      <c r="A162" s="3" t="s">
        <v>176</v>
      </c>
      <c r="B162" s="13">
        <f>D158</f>
        <v>374.3267504</v>
      </c>
      <c r="D162" s="12">
        <f>G157/(SUM(B161,B163)+SUM(F156:F157))</f>
        <v>0.05135109889</v>
      </c>
      <c r="E162" s="12">
        <f>B161/(SUM(B161,B163)+SUM(F156:F157))</f>
        <v>0.9043879032</v>
      </c>
      <c r="I162" s="3" t="s">
        <v>176</v>
      </c>
      <c r="J162" s="13">
        <f>L158</f>
        <v>325</v>
      </c>
    </row>
    <row r="163">
      <c r="A163" s="3" t="s">
        <v>177</v>
      </c>
      <c r="B163" s="13">
        <f>G157</f>
        <v>985</v>
      </c>
      <c r="I163" s="3" t="s">
        <v>177</v>
      </c>
      <c r="J163" s="13">
        <f>0.051*(L157+L156-L158)</f>
        <v>1386.027</v>
      </c>
    </row>
    <row r="164">
      <c r="I164" s="4" t="s">
        <v>178</v>
      </c>
    </row>
    <row r="165">
      <c r="A165" s="13"/>
      <c r="B165" s="3" t="s">
        <v>179</v>
      </c>
    </row>
    <row r="166">
      <c r="A166" s="3" t="s">
        <v>180</v>
      </c>
      <c r="B166" s="13">
        <f>SUM(B156:B157)</f>
        <v>13836</v>
      </c>
      <c r="I166" s="13"/>
      <c r="J166" s="3" t="s">
        <v>179</v>
      </c>
    </row>
    <row r="167">
      <c r="I167" s="3" t="s">
        <v>180</v>
      </c>
      <c r="J167" s="13">
        <f>SUM(J156:J157)</f>
        <v>20536</v>
      </c>
    </row>
    <row r="168">
      <c r="A168" s="3" t="s">
        <v>181</v>
      </c>
      <c r="B168" s="13"/>
      <c r="C168" s="13"/>
    </row>
    <row r="169">
      <c r="I169" s="3" t="s">
        <v>182</v>
      </c>
      <c r="J169" s="13"/>
      <c r="K169" s="13"/>
    </row>
    <row r="171">
      <c r="B171" s="4" t="s">
        <v>78</v>
      </c>
      <c r="C171" s="4" t="s">
        <v>79</v>
      </c>
    </row>
    <row r="172">
      <c r="A172" s="4"/>
      <c r="B172" s="25" t="s">
        <v>183</v>
      </c>
      <c r="F172" s="4" t="s">
        <v>78</v>
      </c>
      <c r="G172" s="4" t="s">
        <v>79</v>
      </c>
    </row>
    <row r="173">
      <c r="A173" s="4" t="s">
        <v>86</v>
      </c>
      <c r="B173" s="12">
        <v>3003.966</v>
      </c>
      <c r="C173" s="12">
        <v>4450.32</v>
      </c>
      <c r="F173" s="25" t="s">
        <v>183</v>
      </c>
    </row>
    <row r="174">
      <c r="A174" s="4" t="s">
        <v>88</v>
      </c>
      <c r="B174" s="12">
        <v>8232.570000000002</v>
      </c>
      <c r="C174" s="12">
        <v>12196.400000000001</v>
      </c>
      <c r="E174" s="4" t="s">
        <v>184</v>
      </c>
      <c r="F174" s="12">
        <v>70000.0</v>
      </c>
      <c r="G174" s="12">
        <v>175000.0</v>
      </c>
    </row>
    <row r="175">
      <c r="A175" s="4" t="s">
        <v>90</v>
      </c>
      <c r="B175" s="12">
        <v>15763.464</v>
      </c>
      <c r="C175" s="12">
        <v>23353.280000000002</v>
      </c>
      <c r="F175" s="25" t="s">
        <v>185</v>
      </c>
    </row>
    <row r="176">
      <c r="B176" s="25" t="s">
        <v>186</v>
      </c>
      <c r="E176" s="4" t="s">
        <v>180</v>
      </c>
      <c r="F176" s="4">
        <v>13836.0</v>
      </c>
      <c r="G176" s="4">
        <v>20536.0</v>
      </c>
    </row>
    <row r="177">
      <c r="A177" s="4" t="s">
        <v>173</v>
      </c>
      <c r="B177" s="12">
        <v>17347.673249551168</v>
      </c>
      <c r="C177" s="12">
        <v>24568.008</v>
      </c>
      <c r="E177" s="4" t="s">
        <v>187</v>
      </c>
      <c r="F177" s="12">
        <f t="shared" ref="F177:G177" si="36">SUM(F174,F176)</f>
        <v>83836</v>
      </c>
      <c r="G177" s="12">
        <f t="shared" si="36"/>
        <v>195536</v>
      </c>
    </row>
    <row r="178">
      <c r="A178" s="4" t="s">
        <v>176</v>
      </c>
      <c r="B178" s="12">
        <v>374.326750448833</v>
      </c>
      <c r="C178" s="12">
        <v>325.0</v>
      </c>
      <c r="E178" s="4" t="s">
        <v>188</v>
      </c>
    </row>
    <row r="179">
      <c r="A179" s="4" t="s">
        <v>177</v>
      </c>
      <c r="B179" s="12">
        <v>985.0</v>
      </c>
      <c r="C179" s="12">
        <v>1386.0269999999998</v>
      </c>
    </row>
    <row r="180">
      <c r="A180" s="3"/>
      <c r="B180" s="26" t="s">
        <v>189</v>
      </c>
      <c r="E180" s="13"/>
      <c r="F180" s="3" t="s">
        <v>190</v>
      </c>
      <c r="G180" s="3" t="s">
        <v>191</v>
      </c>
    </row>
    <row r="181">
      <c r="A181" s="3" t="s">
        <v>176</v>
      </c>
      <c r="B181" s="13">
        <f t="shared" ref="B181:C181" si="37">B178</f>
        <v>374.3267504</v>
      </c>
      <c r="C181" s="13">
        <f t="shared" si="37"/>
        <v>325</v>
      </c>
      <c r="E181" s="3" t="s">
        <v>192</v>
      </c>
      <c r="F181" s="13">
        <f t="shared" ref="F181:G181" si="38">F177*2.75</f>
        <v>230549</v>
      </c>
      <c r="G181" s="13">
        <f t="shared" si="38"/>
        <v>537724</v>
      </c>
    </row>
    <row r="182">
      <c r="A182" s="3" t="s">
        <v>193</v>
      </c>
      <c r="B182" s="13">
        <f t="shared" ref="B182:C182" si="39">SUM(B179,B173,B175)</f>
        <v>19752.43</v>
      </c>
      <c r="C182" s="13">
        <f t="shared" si="39"/>
        <v>29189.627</v>
      </c>
    </row>
    <row r="183">
      <c r="A183" s="3" t="s">
        <v>88</v>
      </c>
      <c r="B183" s="13">
        <f t="shared" ref="B183:C183" si="40">SUM(B174,B177)</f>
        <v>25580.24325</v>
      </c>
      <c r="C183" s="13">
        <f t="shared" si="40"/>
        <v>36764.408</v>
      </c>
    </row>
    <row r="184">
      <c r="A184" s="3" t="s">
        <v>194</v>
      </c>
      <c r="B184" s="13">
        <f t="shared" ref="B184:C184" si="41">SUM(B181:B183)</f>
        <v>45707</v>
      </c>
      <c r="C184" s="13">
        <f t="shared" si="41"/>
        <v>66279.035</v>
      </c>
    </row>
    <row r="185">
      <c r="A185" s="4" t="s">
        <v>195</v>
      </c>
    </row>
    <row r="186">
      <c r="A186" s="4" t="s">
        <v>196</v>
      </c>
    </row>
    <row r="187">
      <c r="H187" s="27"/>
      <c r="I187" s="22"/>
      <c r="J187" s="22"/>
    </row>
    <row r="188">
      <c r="A188" s="13"/>
      <c r="B188" s="13"/>
      <c r="C188" s="3" t="s">
        <v>176</v>
      </c>
      <c r="D188" s="3" t="s">
        <v>86</v>
      </c>
      <c r="E188" s="3" t="s">
        <v>88</v>
      </c>
      <c r="F188" s="3" t="s">
        <v>197</v>
      </c>
      <c r="G188" s="13"/>
      <c r="H188" s="28"/>
      <c r="I188" s="29"/>
      <c r="J188" s="3"/>
      <c r="K188" s="13"/>
      <c r="L188" s="13"/>
      <c r="M188" s="13"/>
      <c r="N188" s="13"/>
      <c r="O188" s="13"/>
      <c r="P188" s="13"/>
      <c r="Q188" s="13"/>
      <c r="R188" s="13"/>
      <c r="S188" s="13"/>
      <c r="T188" s="13"/>
      <c r="U188" s="13"/>
      <c r="V188" s="13"/>
      <c r="W188" s="13"/>
      <c r="X188" s="13"/>
      <c r="Y188" s="13"/>
      <c r="Z188" s="13"/>
      <c r="AA188" s="13"/>
    </row>
    <row r="189">
      <c r="A189" s="3" t="s">
        <v>78</v>
      </c>
      <c r="B189" s="3" t="s">
        <v>198</v>
      </c>
      <c r="C189" s="13">
        <f>0.9257*B178</f>
        <v>346.5142729</v>
      </c>
      <c r="D189" s="13">
        <f>$B$182*0.9908</f>
        <v>19570.70764</v>
      </c>
      <c r="E189" s="13">
        <f>$B$183*0.67005</f>
        <v>17140.04199</v>
      </c>
      <c r="F189" s="13">
        <f t="shared" ref="F189:F198" si="42">SUM(C189:E189)</f>
        <v>37057.26391</v>
      </c>
      <c r="G189" s="13"/>
      <c r="H189" s="30"/>
      <c r="I189" s="29"/>
      <c r="J189" s="3"/>
      <c r="K189" s="13"/>
      <c r="L189" s="13"/>
      <c r="M189" s="13"/>
      <c r="N189" s="13"/>
      <c r="O189" s="13"/>
      <c r="P189" s="13"/>
      <c r="Q189" s="13"/>
      <c r="R189" s="13"/>
      <c r="S189" s="13"/>
      <c r="T189" s="13"/>
      <c r="U189" s="13"/>
      <c r="V189" s="13"/>
      <c r="W189" s="13"/>
      <c r="X189" s="13"/>
      <c r="Y189" s="13"/>
      <c r="Z189" s="13"/>
      <c r="AA189" s="13"/>
    </row>
    <row r="190">
      <c r="A190" s="13"/>
      <c r="B190" s="3" t="s">
        <v>199</v>
      </c>
      <c r="C190" s="13">
        <f>0.039*B178</f>
        <v>14.59874327</v>
      </c>
      <c r="D190" s="3">
        <v>0.0</v>
      </c>
      <c r="E190" s="13">
        <f>B183*0.105</f>
        <v>2685.925541</v>
      </c>
      <c r="F190" s="13">
        <f t="shared" si="42"/>
        <v>2700.524284</v>
      </c>
      <c r="G190" s="13"/>
      <c r="H190" s="28"/>
      <c r="I190" s="29"/>
      <c r="J190" s="3"/>
      <c r="K190" s="13"/>
      <c r="L190" s="13"/>
      <c r="M190" s="13"/>
      <c r="N190" s="13"/>
      <c r="O190" s="13"/>
      <c r="P190" s="13"/>
      <c r="Q190" s="13"/>
      <c r="R190" s="13"/>
      <c r="S190" s="13"/>
      <c r="T190" s="13"/>
      <c r="U190" s="13"/>
      <c r="V190" s="13"/>
      <c r="W190" s="13"/>
      <c r="X190" s="13"/>
      <c r="Y190" s="13"/>
      <c r="Z190" s="13"/>
      <c r="AA190" s="13"/>
    </row>
    <row r="191">
      <c r="A191" s="13"/>
      <c r="B191" s="3" t="s">
        <v>200</v>
      </c>
      <c r="C191" s="13">
        <f>0.02*B178</f>
        <v>7.486535009</v>
      </c>
      <c r="D191" s="3">
        <v>0.0</v>
      </c>
      <c r="E191" s="13">
        <f>B183*0.195</f>
        <v>4988.147434</v>
      </c>
      <c r="F191" s="13">
        <f t="shared" si="42"/>
        <v>4995.633969</v>
      </c>
      <c r="G191" s="13"/>
      <c r="H191" s="31"/>
      <c r="I191" s="29"/>
      <c r="J191" s="3"/>
      <c r="K191" s="13"/>
      <c r="L191" s="13"/>
      <c r="M191" s="13"/>
      <c r="N191" s="13"/>
      <c r="O191" s="13"/>
      <c r="P191" s="13"/>
      <c r="Q191" s="13"/>
      <c r="R191" s="13"/>
      <c r="S191" s="13"/>
      <c r="T191" s="13"/>
      <c r="U191" s="13"/>
      <c r="V191" s="13"/>
      <c r="W191" s="13"/>
      <c r="X191" s="13"/>
      <c r="Y191" s="13"/>
      <c r="Z191" s="13"/>
      <c r="AA191" s="13"/>
    </row>
    <row r="192">
      <c r="A192" s="13"/>
      <c r="B192" s="3" t="s">
        <v>201</v>
      </c>
      <c r="C192" s="13">
        <f>0.004*B178</f>
        <v>1.497307002</v>
      </c>
      <c r="D192" s="13">
        <f>0.006*B182</f>
        <v>118.51458</v>
      </c>
      <c r="E192" s="13">
        <f>0.02*B183</f>
        <v>511.604865</v>
      </c>
      <c r="F192" s="13">
        <f t="shared" si="42"/>
        <v>631.616752</v>
      </c>
      <c r="G192" s="13"/>
      <c r="H192" s="31"/>
      <c r="I192" s="29"/>
      <c r="J192" s="3"/>
      <c r="K192" s="13"/>
      <c r="L192" s="13"/>
      <c r="M192" s="13"/>
      <c r="N192" s="13"/>
      <c r="O192" s="13"/>
      <c r="P192" s="13"/>
      <c r="Q192" s="13"/>
      <c r="R192" s="13"/>
      <c r="S192" s="13"/>
      <c r="T192" s="13"/>
      <c r="U192" s="13"/>
      <c r="V192" s="13"/>
      <c r="W192" s="13"/>
      <c r="X192" s="13"/>
      <c r="Y192" s="13"/>
      <c r="Z192" s="13"/>
      <c r="AA192" s="13"/>
    </row>
    <row r="193">
      <c r="A193" s="13"/>
      <c r="B193" s="3" t="s">
        <v>202</v>
      </c>
      <c r="C193" s="13">
        <f>0.006*B178</f>
        <v>2.245960503</v>
      </c>
      <c r="D193" s="3">
        <v>0.0</v>
      </c>
      <c r="E193" s="3">
        <v>0.0</v>
      </c>
      <c r="F193" s="13">
        <f t="shared" si="42"/>
        <v>2.245960503</v>
      </c>
      <c r="G193" s="13"/>
      <c r="H193" s="31"/>
      <c r="I193" s="32"/>
      <c r="J193" s="33"/>
      <c r="K193" s="13"/>
      <c r="L193" s="13"/>
      <c r="M193" s="13"/>
      <c r="N193" s="13"/>
      <c r="O193" s="13"/>
      <c r="P193" s="13"/>
      <c r="Q193" s="13"/>
      <c r="R193" s="13"/>
      <c r="S193" s="13"/>
      <c r="T193" s="13"/>
      <c r="U193" s="13"/>
      <c r="V193" s="13"/>
      <c r="W193" s="13"/>
      <c r="X193" s="13"/>
      <c r="Y193" s="13"/>
      <c r="Z193" s="13"/>
      <c r="AA193" s="13"/>
    </row>
    <row r="194">
      <c r="A194" s="3" t="s">
        <v>79</v>
      </c>
      <c r="B194" s="3" t="s">
        <v>198</v>
      </c>
      <c r="C194" s="13">
        <f>0.9257*$C$178</f>
        <v>300.8525</v>
      </c>
      <c r="D194" s="13">
        <f>$C$182*0.9908</f>
        <v>28921.08243</v>
      </c>
      <c r="E194" s="13">
        <f>C183*0.67005</f>
        <v>24633.99158</v>
      </c>
      <c r="F194" s="13">
        <f t="shared" si="42"/>
        <v>53855.92651</v>
      </c>
      <c r="G194" s="13"/>
      <c r="H194" s="31"/>
      <c r="I194" s="32"/>
      <c r="J194" s="33"/>
      <c r="K194" s="13"/>
      <c r="L194" s="13"/>
      <c r="M194" s="13"/>
      <c r="N194" s="13"/>
      <c r="O194" s="13"/>
      <c r="P194" s="13"/>
      <c r="Q194" s="13"/>
      <c r="R194" s="13"/>
      <c r="S194" s="13"/>
      <c r="T194" s="13"/>
      <c r="U194" s="13"/>
      <c r="V194" s="13"/>
      <c r="W194" s="13"/>
      <c r="X194" s="13"/>
      <c r="Y194" s="13"/>
      <c r="Z194" s="13"/>
      <c r="AA194" s="13"/>
    </row>
    <row r="195">
      <c r="A195" s="13"/>
      <c r="B195" s="3" t="s">
        <v>199</v>
      </c>
      <c r="C195" s="13">
        <f>0.039*$C$178</f>
        <v>12.675</v>
      </c>
      <c r="D195" s="3">
        <v>0.0</v>
      </c>
      <c r="E195" s="13">
        <f>C183*0.105</f>
        <v>3860.26284</v>
      </c>
      <c r="F195" s="13">
        <f t="shared" si="42"/>
        <v>3872.93784</v>
      </c>
      <c r="G195" s="13"/>
      <c r="H195" s="31"/>
      <c r="I195" s="32"/>
      <c r="J195" s="33"/>
      <c r="K195" s="13"/>
      <c r="L195" s="13"/>
      <c r="M195" s="13"/>
      <c r="N195" s="13"/>
      <c r="O195" s="13"/>
      <c r="P195" s="13"/>
      <c r="Q195" s="13"/>
      <c r="R195" s="13"/>
      <c r="S195" s="13"/>
      <c r="T195" s="13"/>
      <c r="U195" s="13"/>
      <c r="V195" s="13"/>
      <c r="W195" s="13"/>
      <c r="X195" s="13"/>
      <c r="Y195" s="13"/>
      <c r="Z195" s="13"/>
      <c r="AA195" s="13"/>
    </row>
    <row r="196">
      <c r="A196" s="13"/>
      <c r="B196" s="3" t="s">
        <v>200</v>
      </c>
      <c r="C196" s="13">
        <f>0.02*$C$178</f>
        <v>6.5</v>
      </c>
      <c r="D196" s="3">
        <v>0.0</v>
      </c>
      <c r="E196" s="13">
        <f>C183*0.195</f>
        <v>7169.05956</v>
      </c>
      <c r="F196" s="13">
        <f t="shared" si="42"/>
        <v>7175.55956</v>
      </c>
      <c r="G196" s="13"/>
      <c r="H196" s="31"/>
      <c r="I196" s="32"/>
      <c r="J196" s="33"/>
      <c r="K196" s="13"/>
      <c r="L196" s="13"/>
      <c r="M196" s="13"/>
      <c r="N196" s="13"/>
      <c r="O196" s="13"/>
      <c r="P196" s="13"/>
      <c r="Q196" s="13"/>
      <c r="R196" s="13"/>
      <c r="S196" s="13"/>
      <c r="T196" s="13"/>
      <c r="U196" s="13"/>
      <c r="V196" s="13"/>
      <c r="W196" s="13"/>
      <c r="X196" s="13"/>
      <c r="Y196" s="13"/>
      <c r="Z196" s="13"/>
      <c r="AA196" s="13"/>
    </row>
    <row r="197">
      <c r="A197" s="13"/>
      <c r="B197" s="3" t="s">
        <v>201</v>
      </c>
      <c r="C197" s="13">
        <f>0.004*$C$178</f>
        <v>1.3</v>
      </c>
      <c r="D197" s="13">
        <f>0.006*C182</f>
        <v>175.137762</v>
      </c>
      <c r="E197" s="13">
        <f>C183*0.02</f>
        <v>735.28816</v>
      </c>
      <c r="F197" s="13">
        <f t="shared" si="42"/>
        <v>911.725922</v>
      </c>
      <c r="G197" s="13"/>
      <c r="H197" s="13"/>
      <c r="I197" s="13"/>
      <c r="J197" s="13"/>
      <c r="K197" s="13"/>
      <c r="L197" s="13"/>
      <c r="M197" s="13"/>
      <c r="N197" s="13"/>
      <c r="O197" s="13"/>
      <c r="P197" s="13"/>
      <c r="Q197" s="13"/>
      <c r="R197" s="13"/>
      <c r="S197" s="13"/>
      <c r="T197" s="13"/>
      <c r="U197" s="13"/>
      <c r="V197" s="13"/>
      <c r="W197" s="13"/>
      <c r="X197" s="13"/>
      <c r="Y197" s="13"/>
      <c r="Z197" s="13"/>
      <c r="AA197" s="13"/>
    </row>
    <row r="198">
      <c r="A198" s="13"/>
      <c r="B198" s="3" t="s">
        <v>202</v>
      </c>
      <c r="C198" s="13">
        <f>0.006*$C$178</f>
        <v>1.95</v>
      </c>
      <c r="D198" s="3">
        <v>0.0</v>
      </c>
      <c r="E198" s="3">
        <v>0.0</v>
      </c>
      <c r="F198" s="13">
        <f t="shared" si="42"/>
        <v>1.95</v>
      </c>
      <c r="G198" s="13"/>
      <c r="H198" s="13"/>
      <c r="I198" s="13"/>
      <c r="J198" s="13"/>
      <c r="K198" s="13"/>
      <c r="L198" s="13"/>
      <c r="M198" s="13"/>
      <c r="N198" s="13"/>
      <c r="O198" s="13"/>
      <c r="P198" s="13"/>
      <c r="Q198" s="13"/>
      <c r="R198" s="13"/>
      <c r="S198" s="13"/>
      <c r="T198" s="13"/>
      <c r="U198" s="13"/>
      <c r="V198" s="13"/>
      <c r="W198" s="13"/>
      <c r="X198" s="13"/>
      <c r="Y198" s="13"/>
      <c r="Z198" s="13"/>
      <c r="AA198" s="13"/>
    </row>
    <row r="202">
      <c r="A202" s="6"/>
      <c r="B202" s="5" t="s">
        <v>203</v>
      </c>
      <c r="C202" s="6"/>
      <c r="D202" s="6"/>
      <c r="E202" s="6"/>
      <c r="F202" s="6"/>
      <c r="G202" s="6"/>
      <c r="H202" s="6"/>
      <c r="I202" s="6"/>
      <c r="J202" s="6"/>
      <c r="K202" s="6"/>
      <c r="L202" s="6"/>
      <c r="M202" s="6"/>
      <c r="N202" s="6"/>
      <c r="O202" s="6"/>
      <c r="P202" s="6"/>
      <c r="Q202" s="6"/>
      <c r="R202" s="6"/>
      <c r="S202" s="6"/>
      <c r="T202" s="6"/>
      <c r="U202" s="6"/>
      <c r="V202" s="6"/>
      <c r="W202" s="6"/>
      <c r="X202" s="6"/>
      <c r="Y202" s="6"/>
      <c r="Z202" s="6"/>
      <c r="AA202" s="6"/>
    </row>
    <row r="203">
      <c r="A203" s="6"/>
      <c r="B203" s="34" t="s">
        <v>204</v>
      </c>
      <c r="C203" s="6"/>
      <c r="D203" s="6"/>
      <c r="E203" s="6"/>
      <c r="F203" s="6"/>
      <c r="G203" s="6"/>
      <c r="H203" s="6"/>
      <c r="I203" s="6"/>
      <c r="J203" s="6"/>
      <c r="K203" s="6"/>
      <c r="L203" s="6"/>
      <c r="M203" s="6"/>
      <c r="N203" s="6"/>
      <c r="O203" s="6"/>
      <c r="P203" s="6"/>
      <c r="Q203" s="6"/>
      <c r="R203" s="6"/>
      <c r="S203" s="6"/>
      <c r="T203" s="6"/>
      <c r="U203" s="6"/>
      <c r="V203" s="6"/>
      <c r="W203" s="6"/>
      <c r="X203" s="6"/>
      <c r="Y203" s="6"/>
      <c r="Z203" s="6"/>
      <c r="AA203" s="6"/>
    </row>
    <row r="204">
      <c r="A204" s="6"/>
      <c r="B204" s="35" t="s">
        <v>205</v>
      </c>
      <c r="C204" s="6"/>
      <c r="D204" s="6"/>
      <c r="E204" s="6"/>
      <c r="F204" s="6"/>
      <c r="G204" s="6"/>
      <c r="H204" s="6"/>
      <c r="I204" s="6"/>
      <c r="J204" s="6"/>
      <c r="K204" s="6"/>
      <c r="L204" s="6"/>
      <c r="M204" s="6"/>
      <c r="N204" s="6"/>
      <c r="O204" s="6"/>
      <c r="P204" s="6"/>
      <c r="Q204" s="6"/>
      <c r="R204" s="6"/>
      <c r="S204" s="6"/>
      <c r="T204" s="6"/>
      <c r="U204" s="6"/>
      <c r="V204" s="6"/>
      <c r="W204" s="6"/>
      <c r="X204" s="6"/>
      <c r="Y204" s="6"/>
      <c r="Z204" s="6"/>
      <c r="AA204" s="6"/>
    </row>
    <row r="205">
      <c r="A205" s="4"/>
      <c r="B205" s="36" t="s">
        <v>206</v>
      </c>
    </row>
    <row r="206">
      <c r="A206" s="4"/>
      <c r="B206" s="36" t="s">
        <v>207</v>
      </c>
    </row>
    <row r="207">
      <c r="A207" s="4"/>
      <c r="B207" s="36"/>
    </row>
    <row r="208">
      <c r="A208" s="4" t="s">
        <v>208</v>
      </c>
      <c r="B208" s="36"/>
    </row>
    <row r="209">
      <c r="B209" s="4" t="s">
        <v>209</v>
      </c>
    </row>
    <row r="210">
      <c r="A210" s="4" t="s">
        <v>210</v>
      </c>
      <c r="B210" s="36">
        <f>3000000/3.2</f>
        <v>937500</v>
      </c>
    </row>
    <row r="211">
      <c r="A211" s="4" t="s">
        <v>211</v>
      </c>
      <c r="B211" s="36">
        <f>230000/3.2</f>
        <v>71875</v>
      </c>
      <c r="C211" s="4" t="s">
        <v>212</v>
      </c>
    </row>
    <row r="212">
      <c r="B212" s="36"/>
    </row>
    <row r="213">
      <c r="A213" s="4" t="s">
        <v>213</v>
      </c>
      <c r="B213" s="36"/>
    </row>
    <row r="214">
      <c r="B214" s="4" t="s">
        <v>214</v>
      </c>
      <c r="E214" s="4" t="s">
        <v>215</v>
      </c>
    </row>
    <row r="215">
      <c r="B215" s="4" t="s">
        <v>216</v>
      </c>
      <c r="E215" s="4" t="s">
        <v>217</v>
      </c>
    </row>
    <row r="216">
      <c r="B216" s="4" t="s">
        <v>218</v>
      </c>
      <c r="E216" s="4" t="s">
        <v>219</v>
      </c>
    </row>
    <row r="217">
      <c r="E217" s="4" t="s">
        <v>220</v>
      </c>
    </row>
    <row r="218">
      <c r="E218" s="4" t="s">
        <v>221</v>
      </c>
    </row>
    <row r="220">
      <c r="A220" s="6"/>
      <c r="B220" s="5" t="s">
        <v>222</v>
      </c>
      <c r="C220" s="6"/>
      <c r="D220" s="6"/>
      <c r="E220" s="6"/>
      <c r="F220" s="6"/>
      <c r="G220" s="6"/>
      <c r="H220" s="6"/>
      <c r="I220" s="6"/>
      <c r="J220" s="6"/>
      <c r="K220" s="6"/>
      <c r="L220" s="6"/>
      <c r="M220" s="6"/>
      <c r="N220" s="6"/>
      <c r="O220" s="6"/>
      <c r="P220" s="6"/>
      <c r="Q220" s="6"/>
      <c r="R220" s="6"/>
      <c r="S220" s="6"/>
      <c r="T220" s="6"/>
      <c r="U220" s="6"/>
      <c r="V220" s="6"/>
      <c r="W220" s="6"/>
      <c r="X220" s="6"/>
      <c r="Y220" s="6"/>
      <c r="Z220" s="6"/>
      <c r="AA220" s="6"/>
    </row>
    <row r="221">
      <c r="A221" s="6"/>
      <c r="B221" s="7" t="s">
        <v>223</v>
      </c>
      <c r="C221" s="6"/>
      <c r="D221" s="6"/>
      <c r="E221" s="6"/>
      <c r="F221" s="6"/>
      <c r="G221" s="6"/>
      <c r="H221" s="6"/>
      <c r="I221" s="6"/>
      <c r="J221" s="6"/>
      <c r="K221" s="6"/>
      <c r="L221" s="6"/>
      <c r="M221" s="6"/>
      <c r="N221" s="6"/>
      <c r="O221" s="6"/>
      <c r="P221" s="6"/>
      <c r="Q221" s="6"/>
      <c r="R221" s="6"/>
      <c r="S221" s="6"/>
      <c r="T221" s="6"/>
      <c r="U221" s="6"/>
      <c r="V221" s="6"/>
      <c r="W221" s="6"/>
      <c r="X221" s="6"/>
      <c r="Y221" s="6"/>
      <c r="Z221" s="6"/>
      <c r="AA221" s="6"/>
    </row>
    <row r="222">
      <c r="A222" s="6"/>
      <c r="B222" s="5" t="s">
        <v>224</v>
      </c>
      <c r="C222" s="6"/>
      <c r="D222" s="6"/>
      <c r="E222" s="6"/>
      <c r="F222" s="6"/>
      <c r="G222" s="6"/>
      <c r="H222" s="6"/>
      <c r="I222" s="6"/>
      <c r="J222" s="6"/>
      <c r="K222" s="6"/>
      <c r="L222" s="6"/>
      <c r="M222" s="6"/>
      <c r="N222" s="6"/>
      <c r="O222" s="6"/>
      <c r="P222" s="6"/>
      <c r="Q222" s="6"/>
      <c r="R222" s="6"/>
      <c r="S222" s="6"/>
      <c r="T222" s="6"/>
      <c r="U222" s="6"/>
      <c r="V222" s="6"/>
      <c r="W222" s="6"/>
      <c r="X222" s="6"/>
      <c r="Y222" s="6"/>
      <c r="Z222" s="6"/>
      <c r="AA222" s="6"/>
    </row>
    <row r="223">
      <c r="B223" s="4" t="s">
        <v>225</v>
      </c>
      <c r="C223" s="12">
        <f>157*264</f>
        <v>41448</v>
      </c>
    </row>
    <row r="224">
      <c r="B224" s="4" t="s">
        <v>226</v>
      </c>
    </row>
    <row r="226">
      <c r="B226" s="13"/>
      <c r="C226" s="3" t="s">
        <v>227</v>
      </c>
    </row>
    <row r="227">
      <c r="B227" s="13"/>
      <c r="C227" s="3" t="s">
        <v>172</v>
      </c>
      <c r="E227" s="12">
        <f>157/1117</f>
        <v>0.1405550582</v>
      </c>
    </row>
    <row r="228">
      <c r="B228" s="3" t="s">
        <v>228</v>
      </c>
      <c r="C228" s="13">
        <f>0.88/3.2</f>
        <v>0.275</v>
      </c>
      <c r="E228" s="12">
        <f>89/225</f>
        <v>0.3955555556</v>
      </c>
    </row>
    <row r="229">
      <c r="B229" s="3" t="s">
        <v>229</v>
      </c>
      <c r="C229" s="13">
        <f>2.4/3.2</f>
        <v>0.75</v>
      </c>
      <c r="E229" s="12">
        <f>E228/E227</f>
        <v>2.814239207</v>
      </c>
    </row>
    <row r="230">
      <c r="B230" s="3" t="s">
        <v>230</v>
      </c>
      <c r="C230" s="13">
        <f>0.45/3.2</f>
        <v>0.140625</v>
      </c>
    </row>
    <row r="231">
      <c r="B231" s="3" t="s">
        <v>231</v>
      </c>
      <c r="C231" s="13">
        <f>0.15/3.2</f>
        <v>0.046875</v>
      </c>
    </row>
    <row r="233">
      <c r="A233" s="6"/>
      <c r="B233" s="5" t="s">
        <v>232</v>
      </c>
      <c r="C233" s="7" t="s">
        <v>233</v>
      </c>
      <c r="D233" s="6"/>
      <c r="E233" s="6"/>
      <c r="F233" s="6"/>
      <c r="G233" s="6"/>
      <c r="H233" s="6"/>
      <c r="I233" s="6"/>
      <c r="J233" s="6"/>
      <c r="K233" s="6"/>
      <c r="L233" s="6"/>
      <c r="M233" s="6"/>
      <c r="N233" s="6"/>
      <c r="O233" s="6"/>
      <c r="P233" s="6"/>
      <c r="Q233" s="6"/>
      <c r="R233" s="6"/>
      <c r="S233" s="6"/>
      <c r="T233" s="6"/>
      <c r="U233" s="6"/>
      <c r="V233" s="6"/>
      <c r="W233" s="6"/>
      <c r="X233" s="6"/>
      <c r="Y233" s="6"/>
      <c r="Z233" s="6"/>
      <c r="AA233" s="6"/>
    </row>
    <row r="234">
      <c r="A234" s="5"/>
      <c r="B234" s="7" t="s">
        <v>234</v>
      </c>
      <c r="C234" s="6"/>
      <c r="D234" s="6"/>
      <c r="E234" s="6"/>
      <c r="F234" s="6"/>
      <c r="G234" s="6"/>
      <c r="H234" s="6"/>
      <c r="I234" s="6"/>
      <c r="J234" s="6"/>
      <c r="K234" s="6"/>
      <c r="L234" s="6"/>
      <c r="M234" s="6"/>
      <c r="N234" s="6"/>
      <c r="O234" s="6"/>
      <c r="P234" s="6"/>
      <c r="Q234" s="6"/>
      <c r="R234" s="6"/>
      <c r="S234" s="6"/>
      <c r="T234" s="6"/>
      <c r="U234" s="6"/>
      <c r="V234" s="6"/>
      <c r="W234" s="6"/>
      <c r="X234" s="6"/>
      <c r="Y234" s="6"/>
      <c r="Z234" s="6"/>
      <c r="AA234" s="6"/>
    </row>
    <row r="235">
      <c r="A235" s="5"/>
      <c r="B235" s="7" t="s">
        <v>235</v>
      </c>
      <c r="C235" s="6"/>
      <c r="D235" s="6"/>
      <c r="E235" s="6"/>
      <c r="F235" s="6"/>
      <c r="G235" s="6"/>
      <c r="H235" s="6"/>
      <c r="I235" s="6"/>
      <c r="J235" s="6"/>
      <c r="K235" s="6"/>
      <c r="L235" s="6"/>
      <c r="M235" s="6"/>
      <c r="N235" s="6"/>
      <c r="O235" s="6"/>
      <c r="P235" s="6"/>
      <c r="Q235" s="6"/>
      <c r="R235" s="6"/>
      <c r="S235" s="6"/>
      <c r="T235" s="6"/>
      <c r="U235" s="6"/>
      <c r="V235" s="6"/>
      <c r="W235" s="6"/>
      <c r="X235" s="6"/>
      <c r="Y235" s="6"/>
      <c r="Z235" s="6"/>
      <c r="AA235" s="6"/>
    </row>
    <row r="236">
      <c r="A236" s="5"/>
      <c r="B236" s="7" t="s">
        <v>236</v>
      </c>
      <c r="C236" s="6"/>
      <c r="D236" s="6"/>
      <c r="E236" s="6"/>
      <c r="F236" s="6"/>
      <c r="G236" s="6"/>
      <c r="H236" s="6"/>
      <c r="I236" s="6"/>
      <c r="J236" s="6"/>
      <c r="K236" s="6"/>
      <c r="L236" s="6"/>
      <c r="M236" s="6"/>
      <c r="N236" s="6"/>
      <c r="O236" s="6"/>
      <c r="P236" s="6"/>
      <c r="Q236" s="6"/>
      <c r="R236" s="6"/>
      <c r="S236" s="6"/>
      <c r="T236" s="6"/>
      <c r="U236" s="6"/>
      <c r="V236" s="6"/>
      <c r="W236" s="6"/>
      <c r="X236" s="6"/>
      <c r="Y236" s="6"/>
      <c r="Z236" s="6"/>
      <c r="AA236" s="6"/>
    </row>
    <row r="237">
      <c r="A237" s="5"/>
      <c r="B237" s="5" t="s">
        <v>237</v>
      </c>
      <c r="C237" s="6"/>
      <c r="D237" s="6"/>
      <c r="E237" s="6"/>
      <c r="F237" s="6"/>
      <c r="G237" s="6"/>
      <c r="H237" s="6"/>
      <c r="I237" s="6"/>
      <c r="J237" s="6"/>
      <c r="K237" s="6"/>
      <c r="L237" s="6"/>
      <c r="M237" s="6"/>
      <c r="N237" s="6"/>
      <c r="O237" s="6"/>
      <c r="P237" s="6"/>
      <c r="Q237" s="6"/>
      <c r="R237" s="6"/>
      <c r="S237" s="6"/>
      <c r="T237" s="6"/>
      <c r="U237" s="6"/>
      <c r="V237" s="6"/>
      <c r="W237" s="6"/>
      <c r="X237" s="6"/>
      <c r="Y237" s="6"/>
      <c r="Z237" s="6"/>
      <c r="AA237" s="6"/>
    </row>
    <row r="238">
      <c r="A238" s="5"/>
      <c r="B238" s="7" t="s">
        <v>238</v>
      </c>
      <c r="C238" s="6"/>
      <c r="D238" s="6"/>
      <c r="E238" s="6"/>
      <c r="F238" s="6"/>
      <c r="G238" s="6"/>
      <c r="H238" s="6"/>
      <c r="I238" s="6"/>
      <c r="J238" s="6"/>
      <c r="K238" s="6"/>
      <c r="L238" s="6"/>
      <c r="M238" s="6"/>
      <c r="N238" s="6"/>
      <c r="O238" s="6"/>
      <c r="P238" s="6"/>
      <c r="Q238" s="6"/>
      <c r="R238" s="6"/>
      <c r="S238" s="6"/>
      <c r="T238" s="6"/>
      <c r="U238" s="6"/>
      <c r="V238" s="6"/>
      <c r="W238" s="6"/>
      <c r="X238" s="6"/>
      <c r="Y238" s="6"/>
      <c r="Z238" s="6"/>
      <c r="AA238" s="6"/>
    </row>
    <row r="239">
      <c r="A239" s="5"/>
      <c r="B239" s="5" t="s">
        <v>239</v>
      </c>
      <c r="C239" s="6"/>
      <c r="D239" s="6"/>
      <c r="E239" s="6"/>
      <c r="F239" s="6"/>
      <c r="G239" s="6"/>
      <c r="H239" s="6"/>
      <c r="I239" s="6"/>
      <c r="J239" s="6"/>
      <c r="K239" s="6"/>
      <c r="L239" s="6"/>
      <c r="M239" s="6"/>
      <c r="N239" s="6"/>
      <c r="O239" s="6"/>
      <c r="P239" s="6"/>
      <c r="Q239" s="6"/>
      <c r="R239" s="6"/>
      <c r="S239" s="6"/>
      <c r="T239" s="6"/>
      <c r="U239" s="6"/>
      <c r="V239" s="6"/>
      <c r="W239" s="6"/>
      <c r="X239" s="6"/>
      <c r="Y239" s="6"/>
      <c r="Z239" s="6"/>
      <c r="AA239" s="6"/>
    </row>
    <row r="240">
      <c r="A240" s="4"/>
      <c r="B240" s="4"/>
    </row>
    <row r="241">
      <c r="A241" s="4"/>
      <c r="B241" s="3" t="s">
        <v>240</v>
      </c>
      <c r="C241" s="13"/>
      <c r="D241" s="13"/>
      <c r="E241" s="13"/>
      <c r="F241" s="13"/>
    </row>
    <row r="242">
      <c r="A242" s="4"/>
      <c r="B242" s="3" t="s">
        <v>241</v>
      </c>
      <c r="C242" s="13"/>
      <c r="D242" s="13"/>
      <c r="E242" s="13"/>
      <c r="F242" s="13"/>
    </row>
    <row r="244">
      <c r="C244" s="4" t="s">
        <v>172</v>
      </c>
      <c r="D244" s="4" t="s">
        <v>108</v>
      </c>
    </row>
    <row r="245">
      <c r="B245" s="3" t="s">
        <v>242</v>
      </c>
      <c r="C245" s="3">
        <v>47.0</v>
      </c>
      <c r="D245" s="3" t="s">
        <v>243</v>
      </c>
    </row>
    <row r="246">
      <c r="B246" s="4"/>
      <c r="C246" s="4"/>
      <c r="D246" s="4" t="s">
        <v>244</v>
      </c>
    </row>
    <row r="247">
      <c r="B247" s="4"/>
      <c r="C247" s="4"/>
      <c r="D247" s="4"/>
    </row>
    <row r="248">
      <c r="B248" s="4"/>
      <c r="C248" s="4" t="s">
        <v>172</v>
      </c>
      <c r="D248" s="4" t="s">
        <v>108</v>
      </c>
    </row>
    <row r="249">
      <c r="B249" s="1" t="s">
        <v>245</v>
      </c>
      <c r="C249" s="1">
        <v>1.64</v>
      </c>
      <c r="D249" s="1" t="s">
        <v>246</v>
      </c>
    </row>
    <row r="250">
      <c r="B250" s="1" t="s">
        <v>245</v>
      </c>
      <c r="C250" s="1">
        <v>4.6</v>
      </c>
      <c r="D250" s="1" t="s">
        <v>247</v>
      </c>
    </row>
    <row r="251">
      <c r="B251" s="37" t="s">
        <v>248</v>
      </c>
      <c r="C251" s="37">
        <v>64.0</v>
      </c>
      <c r="D251" s="37" t="s">
        <v>249</v>
      </c>
    </row>
    <row r="252">
      <c r="B252" s="37" t="s">
        <v>248</v>
      </c>
      <c r="C252" s="37">
        <v>200.0</v>
      </c>
      <c r="D252" s="37" t="s">
        <v>250</v>
      </c>
    </row>
    <row r="253">
      <c r="B253" s="37" t="s">
        <v>248</v>
      </c>
      <c r="C253" s="37">
        <v>560.0</v>
      </c>
      <c r="D253" s="37" t="s">
        <v>251</v>
      </c>
    </row>
    <row r="254">
      <c r="B254" s="37" t="s">
        <v>248</v>
      </c>
      <c r="C254" s="37">
        <v>18.0</v>
      </c>
      <c r="D254" s="37" t="s">
        <v>252</v>
      </c>
    </row>
    <row r="255">
      <c r="B255" s="3" t="s">
        <v>253</v>
      </c>
      <c r="C255" s="3">
        <v>5.0</v>
      </c>
      <c r="D255" s="3" t="s">
        <v>254</v>
      </c>
    </row>
    <row r="256">
      <c r="B256" s="1" t="s">
        <v>255</v>
      </c>
      <c r="C256" s="1">
        <v>783.0</v>
      </c>
      <c r="D256" s="1" t="s">
        <v>256</v>
      </c>
    </row>
    <row r="257">
      <c r="B257" s="1" t="s">
        <v>201</v>
      </c>
      <c r="C257" s="1">
        <v>75.0</v>
      </c>
      <c r="D257" s="1" t="s">
        <v>257</v>
      </c>
    </row>
    <row r="258">
      <c r="B258" s="1" t="s">
        <v>202</v>
      </c>
      <c r="C258" s="1">
        <v>71.0</v>
      </c>
      <c r="D258" s="1" t="s">
        <v>258</v>
      </c>
    </row>
    <row r="259">
      <c r="B259" s="1" t="s">
        <v>202</v>
      </c>
      <c r="C259" s="1">
        <v>164.0</v>
      </c>
      <c r="D259" s="1" t="s">
        <v>259</v>
      </c>
    </row>
    <row r="260">
      <c r="B260" s="1" t="s">
        <v>200</v>
      </c>
      <c r="C260" s="1">
        <v>415.0</v>
      </c>
      <c r="D260" s="1" t="s">
        <v>260</v>
      </c>
    </row>
    <row r="261">
      <c r="B261" s="1" t="s">
        <v>199</v>
      </c>
      <c r="C261" s="1">
        <v>485.0</v>
      </c>
      <c r="D261" s="1" t="s">
        <v>261</v>
      </c>
    </row>
    <row r="262">
      <c r="B262" s="3" t="s">
        <v>262</v>
      </c>
      <c r="C262" s="3">
        <v>2.0</v>
      </c>
      <c r="D262" s="3" t="s">
        <v>263</v>
      </c>
    </row>
    <row r="263">
      <c r="B263" s="1" t="s">
        <v>264</v>
      </c>
      <c r="C263" s="1">
        <v>0.6</v>
      </c>
      <c r="D263" s="1" t="s">
        <v>265</v>
      </c>
    </row>
    <row r="264">
      <c r="B264" s="1" t="s">
        <v>266</v>
      </c>
      <c r="C264" s="1">
        <v>1.5</v>
      </c>
      <c r="D264" s="1" t="s">
        <v>267</v>
      </c>
    </row>
    <row r="265">
      <c r="B265" s="1" t="s">
        <v>268</v>
      </c>
      <c r="C265" s="1">
        <v>0.0</v>
      </c>
      <c r="D265" s="1" t="s">
        <v>269</v>
      </c>
    </row>
    <row r="271">
      <c r="A271" s="4" t="s">
        <v>270</v>
      </c>
    </row>
    <row r="272">
      <c r="B272" s="4" t="s">
        <v>271</v>
      </c>
    </row>
    <row r="273">
      <c r="B273" s="4" t="s">
        <v>78</v>
      </c>
      <c r="C273" s="4" t="s">
        <v>79</v>
      </c>
      <c r="D273" s="4" t="s">
        <v>108</v>
      </c>
    </row>
    <row r="274">
      <c r="A274" s="4" t="s">
        <v>176</v>
      </c>
      <c r="B274" s="12">
        <v>374.326750448833</v>
      </c>
      <c r="C274" s="12">
        <v>325.0</v>
      </c>
      <c r="D274" s="10"/>
    </row>
    <row r="275">
      <c r="A275" s="4" t="s">
        <v>193</v>
      </c>
      <c r="B275" s="12">
        <v>19752.43</v>
      </c>
      <c r="C275" s="12">
        <v>29189.627</v>
      </c>
      <c r="D275" s="10"/>
    </row>
    <row r="276">
      <c r="A276" s="4" t="s">
        <v>88</v>
      </c>
      <c r="B276" s="12">
        <v>25580.243249551168</v>
      </c>
      <c r="C276" s="12">
        <v>36764.408</v>
      </c>
      <c r="D276" s="10"/>
    </row>
    <row r="277">
      <c r="A277" s="38" t="s">
        <v>272</v>
      </c>
      <c r="B277" s="39">
        <v>45707.0</v>
      </c>
      <c r="C277" s="39">
        <v>66279.0</v>
      </c>
      <c r="D277" s="10"/>
    </row>
    <row r="278">
      <c r="A278" s="4"/>
      <c r="B278" s="4"/>
      <c r="C278" s="4"/>
      <c r="D278" s="10"/>
    </row>
    <row r="279">
      <c r="A279" s="4"/>
      <c r="B279" s="4"/>
      <c r="C279" s="4"/>
      <c r="D279" s="10"/>
    </row>
    <row r="280">
      <c r="A280" s="4"/>
      <c r="B280" s="4" t="s">
        <v>78</v>
      </c>
      <c r="C280" s="4" t="s">
        <v>79</v>
      </c>
      <c r="D280" s="4" t="s">
        <v>108</v>
      </c>
    </row>
    <row r="281">
      <c r="A281" s="39" t="s">
        <v>273</v>
      </c>
      <c r="B281" s="39">
        <v>230549.0</v>
      </c>
      <c r="C281" s="39">
        <v>537724.0</v>
      </c>
      <c r="D281" s="10"/>
    </row>
    <row r="283">
      <c r="A283" s="4" t="s">
        <v>172</v>
      </c>
      <c r="B283" s="4" t="s">
        <v>78</v>
      </c>
      <c r="C283" s="4" t="s">
        <v>79</v>
      </c>
      <c r="D283" s="4" t="s">
        <v>108</v>
      </c>
    </row>
    <row r="284">
      <c r="A284" s="3" t="s">
        <v>274</v>
      </c>
      <c r="B284" s="3">
        <v>100.0</v>
      </c>
      <c r="C284" s="3">
        <v>100.0</v>
      </c>
      <c r="D284" s="4"/>
    </row>
    <row r="285">
      <c r="A285" s="3" t="s">
        <v>275</v>
      </c>
      <c r="B285" s="3">
        <v>4996.0</v>
      </c>
      <c r="C285" s="3">
        <v>7175.0</v>
      </c>
      <c r="D285" s="11"/>
    </row>
    <row r="286">
      <c r="A286" s="3" t="s">
        <v>276</v>
      </c>
      <c r="B286" s="3">
        <v>1470.0</v>
      </c>
      <c r="C286" s="3">
        <v>1470.0</v>
      </c>
    </row>
    <row r="287">
      <c r="A287" s="3" t="s">
        <v>277</v>
      </c>
      <c r="B287" s="3">
        <v>0.0</v>
      </c>
      <c r="C287" s="3">
        <v>0.0</v>
      </c>
      <c r="D287" s="4"/>
    </row>
    <row r="288">
      <c r="A288" s="3" t="s">
        <v>278</v>
      </c>
      <c r="B288" s="3">
        <v>37057.0</v>
      </c>
      <c r="C288" s="3">
        <v>53856.0</v>
      </c>
    </row>
    <row r="289">
      <c r="A289" s="3" t="s">
        <v>279</v>
      </c>
      <c r="B289" s="3">
        <v>47.0</v>
      </c>
      <c r="C289" s="3">
        <v>47.0</v>
      </c>
    </row>
    <row r="290">
      <c r="A290" s="3" t="s">
        <v>280</v>
      </c>
      <c r="B290" s="3">
        <v>632.0</v>
      </c>
      <c r="C290" s="3">
        <v>912.0</v>
      </c>
      <c r="D290" s="11"/>
    </row>
    <row r="291">
      <c r="A291" s="3" t="s">
        <v>281</v>
      </c>
      <c r="B291" s="3">
        <v>2.0</v>
      </c>
      <c r="C291" s="3">
        <v>2.0</v>
      </c>
    </row>
    <row r="292">
      <c r="A292" s="3" t="s">
        <v>282</v>
      </c>
      <c r="B292" s="3">
        <v>2700.0</v>
      </c>
      <c r="C292" s="3">
        <v>3873.0</v>
      </c>
      <c r="D292" s="11"/>
    </row>
    <row r="293">
      <c r="A293" s="3" t="s">
        <v>283</v>
      </c>
      <c r="B293" s="3">
        <v>2.0</v>
      </c>
      <c r="C293" s="3">
        <v>2.0</v>
      </c>
      <c r="D293" s="11"/>
    </row>
    <row r="294">
      <c r="A294" s="3" t="s">
        <v>284</v>
      </c>
      <c r="B294" s="3">
        <v>0.0</v>
      </c>
      <c r="C294" s="3">
        <v>0.0</v>
      </c>
    </row>
    <row r="295">
      <c r="A295" s="3" t="s">
        <v>285</v>
      </c>
      <c r="B295" s="3">
        <v>0.0</v>
      </c>
      <c r="C295" s="3">
        <v>0.0</v>
      </c>
      <c r="D295" s="11"/>
    </row>
    <row r="296">
      <c r="A296" s="3" t="s">
        <v>286</v>
      </c>
      <c r="B296" s="3">
        <v>5.0</v>
      </c>
      <c r="C296" s="3">
        <v>5.0</v>
      </c>
      <c r="D296" s="11"/>
    </row>
  </sheetData>
  <mergeCells count="8">
    <mergeCell ref="A97:C97"/>
    <mergeCell ref="A98:C98"/>
    <mergeCell ref="A99:F99"/>
    <mergeCell ref="B172:C172"/>
    <mergeCell ref="F173:G173"/>
    <mergeCell ref="F175:G175"/>
    <mergeCell ref="B176:C176"/>
    <mergeCell ref="B180:C180"/>
  </mergeCells>
  <hyperlinks>
    <hyperlink r:id="rId1" ref="A7"/>
    <hyperlink r:id="rId2" ref="A8"/>
    <hyperlink r:id="rId3" ref="A48"/>
    <hyperlink r:id="rId4" ref="A80"/>
    <hyperlink r:id="rId5" ref="A87"/>
    <hyperlink r:id="rId6" ref="A98"/>
    <hyperlink r:id="rId7" ref="B204"/>
    <hyperlink r:id="rId8" ref="B221"/>
    <hyperlink r:id="rId9" ref="C233"/>
    <hyperlink r:id="rId10" ref="B234"/>
    <hyperlink r:id="rId11" ref="B235"/>
    <hyperlink r:id="rId12" ref="B236"/>
    <hyperlink r:id="rId13" ref="B238"/>
  </hyperlinks>
  <drawing r:id="rId14"/>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1" max="1" width="42.75"/>
    <col customWidth="1" min="2" max="2" width="43.25"/>
    <col customWidth="1" min="3" max="3" width="20.0"/>
    <col customWidth="1" min="4" max="4" width="21.13"/>
  </cols>
  <sheetData>
    <row r="1">
      <c r="A1" s="1" t="s">
        <v>0</v>
      </c>
    </row>
    <row r="2">
      <c r="A2" s="2" t="s">
        <v>1</v>
      </c>
    </row>
    <row r="3">
      <c r="A3" s="3" t="s">
        <v>2</v>
      </c>
    </row>
    <row r="4">
      <c r="A4" s="4"/>
    </row>
    <row r="5">
      <c r="A5" s="5" t="s">
        <v>46</v>
      </c>
      <c r="B5" s="6"/>
      <c r="C5" s="6"/>
      <c r="D5" s="6"/>
      <c r="E5" s="6"/>
      <c r="F5" s="6"/>
      <c r="G5" s="6"/>
      <c r="H5" s="6"/>
      <c r="I5" s="6"/>
      <c r="J5" s="6"/>
      <c r="K5" s="6"/>
      <c r="L5" s="6"/>
      <c r="M5" s="6"/>
      <c r="N5" s="6"/>
      <c r="O5" s="6"/>
      <c r="P5" s="6"/>
      <c r="Q5" s="6"/>
      <c r="R5" s="6"/>
      <c r="S5" s="6"/>
      <c r="T5" s="6"/>
      <c r="U5" s="6"/>
      <c r="V5" s="6"/>
      <c r="W5" s="6"/>
      <c r="X5" s="6"/>
      <c r="Y5" s="6"/>
      <c r="Z5" s="6"/>
      <c r="AA5" s="6"/>
    </row>
    <row r="6">
      <c r="A6" s="8" t="s">
        <v>47</v>
      </c>
      <c r="B6" s="6"/>
      <c r="C6" s="6"/>
      <c r="D6" s="6"/>
      <c r="E6" s="6"/>
      <c r="F6" s="6"/>
      <c r="G6" s="6"/>
      <c r="H6" s="6"/>
      <c r="I6" s="6"/>
      <c r="J6" s="6"/>
      <c r="K6" s="6"/>
      <c r="L6" s="6"/>
      <c r="M6" s="6"/>
      <c r="N6" s="6"/>
      <c r="O6" s="6"/>
      <c r="P6" s="6"/>
      <c r="Q6" s="6"/>
      <c r="R6" s="6"/>
      <c r="S6" s="6"/>
      <c r="T6" s="6"/>
      <c r="U6" s="6"/>
      <c r="V6" s="6"/>
      <c r="W6" s="6"/>
      <c r="X6" s="6"/>
      <c r="Y6" s="6"/>
      <c r="Z6" s="6"/>
      <c r="AA6" s="6"/>
    </row>
    <row r="7">
      <c r="A7" s="5" t="s">
        <v>48</v>
      </c>
      <c r="B7" s="6"/>
      <c r="C7" s="6"/>
      <c r="D7" s="6"/>
      <c r="E7" s="6"/>
      <c r="F7" s="6"/>
      <c r="G7" s="6"/>
      <c r="H7" s="6"/>
      <c r="I7" s="6"/>
      <c r="J7" s="6"/>
      <c r="K7" s="6"/>
      <c r="L7" s="6"/>
      <c r="M7" s="6"/>
      <c r="N7" s="6"/>
      <c r="O7" s="6"/>
      <c r="P7" s="6"/>
      <c r="Q7" s="6"/>
      <c r="R7" s="6"/>
      <c r="S7" s="6"/>
      <c r="T7" s="6"/>
      <c r="U7" s="6"/>
      <c r="V7" s="6"/>
      <c r="W7" s="6"/>
      <c r="X7" s="6"/>
      <c r="Y7" s="6"/>
      <c r="Z7" s="6"/>
      <c r="AA7" s="6"/>
    </row>
    <row r="8">
      <c r="A8" s="4">
        <v>2022.0</v>
      </c>
      <c r="B8" s="4" t="s">
        <v>287</v>
      </c>
    </row>
    <row r="9">
      <c r="A9" s="4" t="s">
        <v>49</v>
      </c>
      <c r="B9" s="4"/>
    </row>
    <row r="10">
      <c r="A10" s="4" t="s">
        <v>50</v>
      </c>
    </row>
    <row r="11">
      <c r="C11" s="4"/>
      <c r="D11" s="4"/>
    </row>
    <row r="12">
      <c r="C12" s="4" t="s">
        <v>288</v>
      </c>
      <c r="D12" s="4" t="s">
        <v>289</v>
      </c>
    </row>
    <row r="13">
      <c r="B13" s="4" t="s">
        <v>290</v>
      </c>
      <c r="C13" s="4">
        <v>522500.0</v>
      </c>
      <c r="D13" s="4">
        <v>55000.0</v>
      </c>
    </row>
    <row r="15">
      <c r="A15" s="4" t="s">
        <v>291</v>
      </c>
    </row>
    <row r="17">
      <c r="A17" s="3" t="s">
        <v>43</v>
      </c>
    </row>
    <row r="18">
      <c r="A18" s="3" t="s">
        <v>44</v>
      </c>
    </row>
    <row r="19">
      <c r="A19" s="3" t="s">
        <v>45</v>
      </c>
    </row>
    <row r="21">
      <c r="A21" s="3" t="s">
        <v>84</v>
      </c>
      <c r="B21" s="3" t="s">
        <v>290</v>
      </c>
    </row>
    <row r="22">
      <c r="A22" s="3" t="s">
        <v>86</v>
      </c>
      <c r="B22" s="13">
        <f>0.126*0.883*D13</f>
        <v>6119.19</v>
      </c>
    </row>
    <row r="23">
      <c r="A23" s="3" t="s">
        <v>88</v>
      </c>
      <c r="B23" s="13">
        <f>(0.126*0.117*D13)+(0.874*0.332*D13)</f>
        <v>16770.05</v>
      </c>
    </row>
    <row r="24">
      <c r="A24" s="3" t="s">
        <v>90</v>
      </c>
      <c r="B24" s="13">
        <f>(0.874*0.668*D13)</f>
        <v>32110.76</v>
      </c>
    </row>
    <row r="25">
      <c r="A25" s="3" t="s">
        <v>92</v>
      </c>
      <c r="B25" s="13">
        <f>SUM(B22:B24)</f>
        <v>55000</v>
      </c>
    </row>
    <row r="26">
      <c r="A26" s="4"/>
    </row>
    <row r="27">
      <c r="A27" s="4"/>
    </row>
    <row r="28">
      <c r="A28" s="4"/>
    </row>
    <row r="29">
      <c r="A29" s="5" t="s">
        <v>292</v>
      </c>
      <c r="B29" s="6"/>
      <c r="C29" s="6"/>
      <c r="D29" s="6"/>
      <c r="E29" s="6"/>
      <c r="F29" s="6"/>
      <c r="G29" s="6"/>
      <c r="H29" s="6"/>
      <c r="I29" s="6"/>
      <c r="J29" s="6"/>
      <c r="K29" s="6"/>
      <c r="L29" s="6"/>
      <c r="M29" s="6"/>
      <c r="N29" s="6"/>
      <c r="O29" s="6"/>
      <c r="P29" s="6"/>
      <c r="Q29" s="6"/>
      <c r="R29" s="6"/>
      <c r="S29" s="6"/>
      <c r="T29" s="6"/>
      <c r="U29" s="6"/>
      <c r="V29" s="6"/>
      <c r="W29" s="6"/>
      <c r="X29" s="6"/>
      <c r="Y29" s="6"/>
      <c r="Z29" s="6"/>
      <c r="AA29" s="6"/>
    </row>
    <row r="30">
      <c r="A30" s="7" t="s">
        <v>293</v>
      </c>
      <c r="B30" s="6"/>
      <c r="C30" s="6"/>
      <c r="D30" s="6"/>
      <c r="E30" s="6"/>
      <c r="F30" s="6"/>
      <c r="G30" s="6"/>
      <c r="H30" s="6"/>
      <c r="I30" s="6"/>
      <c r="J30" s="6"/>
      <c r="K30" s="6"/>
      <c r="L30" s="6"/>
      <c r="M30" s="6"/>
      <c r="N30" s="6"/>
      <c r="O30" s="6"/>
      <c r="P30" s="6"/>
      <c r="Q30" s="6"/>
      <c r="R30" s="6"/>
      <c r="S30" s="6"/>
      <c r="T30" s="6"/>
      <c r="U30" s="6"/>
      <c r="V30" s="6"/>
      <c r="W30" s="6"/>
      <c r="X30" s="6"/>
      <c r="Y30" s="6"/>
      <c r="Z30" s="6"/>
      <c r="AA30" s="6"/>
    </row>
    <row r="31">
      <c r="A31" s="22" t="s">
        <v>294</v>
      </c>
      <c r="B31" s="4" t="s">
        <v>11</v>
      </c>
    </row>
    <row r="32">
      <c r="A32" s="4" t="s">
        <v>295</v>
      </c>
      <c r="B32" s="3">
        <v>485.0</v>
      </c>
      <c r="C32" s="40" t="s">
        <v>293</v>
      </c>
    </row>
    <row r="33">
      <c r="A33" s="4" t="s">
        <v>295</v>
      </c>
      <c r="B33" s="41" t="s">
        <v>296</v>
      </c>
      <c r="C33" s="42" t="s">
        <v>297</v>
      </c>
    </row>
    <row r="34">
      <c r="A34" s="4" t="s">
        <v>108</v>
      </c>
      <c r="B34" s="11" t="s">
        <v>298</v>
      </c>
    </row>
    <row r="35">
      <c r="A35" s="43"/>
      <c r="B35" s="43"/>
      <c r="C35" s="43"/>
      <c r="D35" s="44"/>
      <c r="E35" s="44"/>
      <c r="F35" s="44"/>
      <c r="G35" s="44"/>
      <c r="H35" s="44"/>
      <c r="I35" s="44"/>
    </row>
    <row r="36">
      <c r="A36" s="16" t="s">
        <v>110</v>
      </c>
      <c r="D36" s="17"/>
      <c r="E36" s="17"/>
      <c r="F36" s="17"/>
      <c r="G36" s="17"/>
      <c r="H36" s="17"/>
      <c r="I36" s="17"/>
      <c r="J36" s="6"/>
      <c r="K36" s="6"/>
      <c r="L36" s="6"/>
      <c r="M36" s="6"/>
      <c r="N36" s="6"/>
      <c r="O36" s="6"/>
      <c r="P36" s="6"/>
      <c r="Q36" s="6"/>
      <c r="R36" s="6"/>
      <c r="S36" s="6"/>
      <c r="T36" s="6"/>
      <c r="U36" s="6"/>
      <c r="V36" s="6"/>
      <c r="W36" s="6"/>
      <c r="X36" s="6"/>
      <c r="Y36" s="6"/>
      <c r="Z36" s="6"/>
      <c r="AA36" s="6"/>
    </row>
    <row r="37">
      <c r="A37" s="18" t="s">
        <v>111</v>
      </c>
      <c r="D37" s="19"/>
      <c r="E37" s="19"/>
      <c r="F37" s="19"/>
      <c r="G37" s="19"/>
      <c r="H37" s="19"/>
      <c r="I37" s="19"/>
    </row>
    <row r="38">
      <c r="A38" s="15" t="s">
        <v>112</v>
      </c>
      <c r="G38" s="19"/>
      <c r="H38" s="19"/>
      <c r="I38" s="19"/>
    </row>
    <row r="39">
      <c r="A39" s="20" t="s">
        <v>113</v>
      </c>
      <c r="B39" s="15"/>
      <c r="C39" s="15"/>
      <c r="D39" s="15"/>
      <c r="E39" s="15"/>
      <c r="F39" s="15"/>
      <c r="G39" s="15"/>
      <c r="H39" s="19"/>
      <c r="I39" s="19"/>
    </row>
    <row r="40">
      <c r="A40" s="4" t="s">
        <v>114</v>
      </c>
      <c r="B40" s="15"/>
      <c r="C40" s="15"/>
      <c r="D40" s="15"/>
      <c r="E40" s="15"/>
      <c r="F40" s="15"/>
      <c r="G40" s="15"/>
      <c r="H40" s="19"/>
      <c r="I40" s="19"/>
    </row>
    <row r="41">
      <c r="A41" s="21" t="s">
        <v>115</v>
      </c>
      <c r="B41" s="15"/>
      <c r="C41" s="15"/>
      <c r="D41" s="15"/>
      <c r="E41" s="15"/>
      <c r="F41" s="15"/>
      <c r="G41" s="15"/>
      <c r="H41" s="19"/>
      <c r="I41" s="19"/>
    </row>
    <row r="42">
      <c r="A42" s="20" t="s">
        <v>116</v>
      </c>
      <c r="B42" s="15"/>
      <c r="C42" s="15"/>
      <c r="D42" s="15"/>
      <c r="E42" s="15"/>
      <c r="F42" s="15"/>
      <c r="G42" s="15"/>
      <c r="H42" s="19"/>
      <c r="I42" s="19"/>
    </row>
    <row r="43">
      <c r="A43" s="22"/>
    </row>
    <row r="44">
      <c r="A44" s="22"/>
    </row>
    <row r="45">
      <c r="A45" s="22"/>
    </row>
    <row r="46">
      <c r="A46" s="22"/>
    </row>
    <row r="47">
      <c r="A47" s="22"/>
    </row>
    <row r="48">
      <c r="A48" s="22"/>
    </row>
    <row r="49">
      <c r="A49" s="22"/>
    </row>
    <row r="50">
      <c r="A50" s="22"/>
    </row>
    <row r="51">
      <c r="A51" s="22"/>
    </row>
    <row r="52">
      <c r="A52" s="22"/>
    </row>
    <row r="53">
      <c r="A53" s="22"/>
    </row>
    <row r="54">
      <c r="A54" s="22"/>
    </row>
    <row r="55">
      <c r="A55" s="22"/>
    </row>
    <row r="56">
      <c r="A56" s="22"/>
    </row>
    <row r="57">
      <c r="A57" s="22"/>
    </row>
    <row r="58">
      <c r="A58" s="22"/>
    </row>
    <row r="59">
      <c r="A59" s="22" t="s">
        <v>299</v>
      </c>
    </row>
    <row r="60">
      <c r="A60" s="22" t="s">
        <v>300</v>
      </c>
    </row>
    <row r="61">
      <c r="A61" s="4" t="s">
        <v>301</v>
      </c>
    </row>
    <row r="62">
      <c r="A62" s="22" t="s">
        <v>302</v>
      </c>
      <c r="B62" s="22"/>
      <c r="C62" s="22"/>
      <c r="D62" s="22"/>
    </row>
    <row r="63">
      <c r="A63" s="22" t="s">
        <v>142</v>
      </c>
      <c r="B63" s="22" t="s">
        <v>149</v>
      </c>
      <c r="C63" s="22" t="s">
        <v>155</v>
      </c>
      <c r="D63" s="22" t="s">
        <v>162</v>
      </c>
    </row>
    <row r="64">
      <c r="A64" s="3" t="s">
        <v>142</v>
      </c>
      <c r="B64" s="3" t="s">
        <v>303</v>
      </c>
      <c r="C64" s="3" t="s">
        <v>156</v>
      </c>
      <c r="D64" s="3" t="s">
        <v>163</v>
      </c>
    </row>
    <row r="65">
      <c r="A65" s="3" t="s">
        <v>143</v>
      </c>
      <c r="B65" s="2" t="s">
        <v>304</v>
      </c>
      <c r="C65" s="3" t="s">
        <v>157</v>
      </c>
      <c r="D65" s="1" t="s">
        <v>164</v>
      </c>
    </row>
    <row r="66">
      <c r="A66" s="3" t="s">
        <v>144</v>
      </c>
      <c r="B66" s="3" t="s">
        <v>152</v>
      </c>
      <c r="C66" s="3" t="s">
        <v>158</v>
      </c>
      <c r="D66" s="3" t="s">
        <v>305</v>
      </c>
    </row>
    <row r="67">
      <c r="A67" s="3" t="s">
        <v>145</v>
      </c>
      <c r="B67" s="3" t="s">
        <v>306</v>
      </c>
      <c r="C67" s="3" t="s">
        <v>159</v>
      </c>
      <c r="D67" s="3" t="s">
        <v>166</v>
      </c>
    </row>
    <row r="68">
      <c r="A68" s="3" t="s">
        <v>307</v>
      </c>
      <c r="B68" s="3" t="s">
        <v>154</v>
      </c>
      <c r="C68" s="3" t="s">
        <v>308</v>
      </c>
    </row>
    <row r="69">
      <c r="A69" s="3" t="s">
        <v>147</v>
      </c>
      <c r="B69" s="3" t="s">
        <v>148</v>
      </c>
      <c r="C69" s="3" t="s">
        <v>161</v>
      </c>
    </row>
    <row r="70">
      <c r="A70" s="3" t="s">
        <v>148</v>
      </c>
      <c r="F70" s="4" t="s">
        <v>309</v>
      </c>
      <c r="G70" s="42" t="s">
        <v>293</v>
      </c>
    </row>
    <row r="71">
      <c r="A71" s="22" t="s">
        <v>108</v>
      </c>
      <c r="B71" s="22" t="s">
        <v>108</v>
      </c>
      <c r="C71" s="22" t="s">
        <v>108</v>
      </c>
      <c r="D71" s="22" t="s">
        <v>108</v>
      </c>
    </row>
    <row r="72">
      <c r="A72" s="11" t="s">
        <v>310</v>
      </c>
      <c r="B72" s="4" t="s">
        <v>311</v>
      </c>
      <c r="D72" s="4" t="s">
        <v>312</v>
      </c>
    </row>
    <row r="75">
      <c r="A75" s="22" t="s">
        <v>117</v>
      </c>
      <c r="C75" s="22"/>
      <c r="D75" s="4"/>
      <c r="E75" s="4"/>
      <c r="F75" s="4"/>
      <c r="G75" s="4"/>
    </row>
    <row r="76">
      <c r="B76" s="4" t="s">
        <v>121</v>
      </c>
      <c r="C76" s="4" t="s">
        <v>122</v>
      </c>
      <c r="D76" s="4" t="s">
        <v>123</v>
      </c>
      <c r="E76" s="4" t="s">
        <v>124</v>
      </c>
      <c r="F76" s="4" t="s">
        <v>125</v>
      </c>
      <c r="G76" s="4" t="s">
        <v>126</v>
      </c>
    </row>
    <row r="77">
      <c r="A77" s="4" t="s">
        <v>127</v>
      </c>
      <c r="B77" s="4">
        <v>74867.0</v>
      </c>
      <c r="C77" s="4">
        <f t="shared" ref="C77:C85" si="1">B77*2.75</f>
        <v>205884.25</v>
      </c>
      <c r="D77" s="4">
        <v>36069.0</v>
      </c>
      <c r="E77" s="4">
        <v>36989.0</v>
      </c>
      <c r="F77" s="4">
        <f t="shared" ref="F77:F85" si="2">E77-D77</f>
        <v>920</v>
      </c>
      <c r="G77" s="4">
        <v>9595.0</v>
      </c>
    </row>
    <row r="78">
      <c r="A78" s="4" t="s">
        <v>128</v>
      </c>
      <c r="B78" s="4">
        <v>43702.0</v>
      </c>
      <c r="C78" s="4">
        <f t="shared" si="1"/>
        <v>120180.5</v>
      </c>
      <c r="D78" s="4">
        <v>15078.0</v>
      </c>
      <c r="E78" s="4">
        <v>15300.0</v>
      </c>
      <c r="F78" s="4">
        <f t="shared" si="2"/>
        <v>222</v>
      </c>
      <c r="G78" s="4"/>
    </row>
    <row r="79">
      <c r="A79" s="4" t="s">
        <v>129</v>
      </c>
      <c r="B79" s="4">
        <v>31165.0</v>
      </c>
      <c r="C79" s="4">
        <f t="shared" si="1"/>
        <v>85703.75</v>
      </c>
      <c r="D79" s="4">
        <v>20991.0</v>
      </c>
      <c r="E79" s="4">
        <v>21688.0</v>
      </c>
      <c r="F79" s="4">
        <f t="shared" si="2"/>
        <v>697</v>
      </c>
      <c r="G79" s="4"/>
    </row>
    <row r="80">
      <c r="A80" s="22" t="s">
        <v>130</v>
      </c>
      <c r="B80" s="4">
        <v>61030.0</v>
      </c>
      <c r="C80" s="4">
        <f t="shared" si="1"/>
        <v>167832.5</v>
      </c>
      <c r="D80" s="4">
        <v>17362.0</v>
      </c>
      <c r="E80" s="4">
        <v>17433.0</v>
      </c>
      <c r="F80" s="4">
        <f t="shared" si="2"/>
        <v>71</v>
      </c>
      <c r="G80" s="4">
        <v>8610.0</v>
      </c>
    </row>
    <row r="81">
      <c r="A81" s="4" t="s">
        <v>131</v>
      </c>
      <c r="B81" s="4">
        <v>2036.0</v>
      </c>
      <c r="C81" s="4">
        <f t="shared" si="1"/>
        <v>5599</v>
      </c>
      <c r="D81" s="4">
        <v>1711.0</v>
      </c>
      <c r="E81" s="4">
        <v>1713.0</v>
      </c>
      <c r="F81" s="4">
        <f t="shared" si="2"/>
        <v>2</v>
      </c>
      <c r="G81" s="4">
        <v>100.0</v>
      </c>
    </row>
    <row r="82">
      <c r="A82" s="4" t="s">
        <v>132</v>
      </c>
      <c r="B82" s="4">
        <v>22637.0</v>
      </c>
      <c r="C82" s="4">
        <f t="shared" si="1"/>
        <v>62251.75</v>
      </c>
      <c r="D82" s="4">
        <v>7571.0</v>
      </c>
      <c r="E82" s="4">
        <v>7581.0</v>
      </c>
      <c r="F82" s="4">
        <f t="shared" si="2"/>
        <v>10</v>
      </c>
      <c r="G82" s="4">
        <v>5761.0</v>
      </c>
    </row>
    <row r="83">
      <c r="A83" s="4" t="s">
        <v>133</v>
      </c>
      <c r="B83" s="22">
        <v>6638.0</v>
      </c>
      <c r="C83" s="4">
        <f t="shared" si="1"/>
        <v>18254.5</v>
      </c>
      <c r="D83" s="22">
        <v>3838.0</v>
      </c>
      <c r="E83" s="22">
        <v>3841.0</v>
      </c>
      <c r="F83" s="4">
        <f t="shared" si="2"/>
        <v>3</v>
      </c>
      <c r="G83" s="22">
        <v>381.0</v>
      </c>
    </row>
    <row r="84">
      <c r="A84" s="4" t="s">
        <v>134</v>
      </c>
      <c r="B84" s="4">
        <v>5506.0</v>
      </c>
      <c r="C84" s="4">
        <f t="shared" si="1"/>
        <v>15141.5</v>
      </c>
      <c r="D84" s="4">
        <v>337.0</v>
      </c>
      <c r="E84" s="4">
        <v>338.0</v>
      </c>
      <c r="F84" s="4">
        <f t="shared" si="2"/>
        <v>1</v>
      </c>
      <c r="G84" s="4">
        <v>254.0</v>
      </c>
    </row>
    <row r="85">
      <c r="A85" s="4" t="s">
        <v>135</v>
      </c>
      <c r="B85" s="4">
        <v>14115.0</v>
      </c>
      <c r="C85" s="4">
        <f t="shared" si="1"/>
        <v>38816.25</v>
      </c>
      <c r="D85" s="4">
        <v>1469.0</v>
      </c>
      <c r="E85" s="4">
        <v>1469.0</v>
      </c>
      <c r="F85" s="4">
        <f t="shared" si="2"/>
        <v>0</v>
      </c>
      <c r="G85" s="4">
        <v>1179.0</v>
      </c>
    </row>
    <row r="86">
      <c r="A86" s="4" t="s">
        <v>136</v>
      </c>
      <c r="B86" s="4" t="s">
        <v>137</v>
      </c>
      <c r="C86" s="4" t="s">
        <v>137</v>
      </c>
      <c r="D86" s="4" t="s">
        <v>137</v>
      </c>
      <c r="E86" s="4" t="s">
        <v>137</v>
      </c>
      <c r="F86" s="4" t="s">
        <v>137</v>
      </c>
      <c r="G86" s="4" t="s">
        <v>137</v>
      </c>
    </row>
    <row r="87">
      <c r="A87" s="4" t="s">
        <v>138</v>
      </c>
      <c r="B87" s="4">
        <v>2985.0</v>
      </c>
      <c r="C87" s="4">
        <f t="shared" ref="C87:C88" si="3">B87*2.75</f>
        <v>8208.75</v>
      </c>
      <c r="D87" s="4">
        <v>429.0</v>
      </c>
      <c r="E87" s="4">
        <v>430.0</v>
      </c>
      <c r="F87" s="4">
        <f t="shared" ref="F87:F88" si="4">E87-D87</f>
        <v>1</v>
      </c>
      <c r="G87" s="4">
        <v>200.0</v>
      </c>
    </row>
    <row r="88">
      <c r="A88" s="4" t="s">
        <v>139</v>
      </c>
      <c r="B88" s="4">
        <v>7113.0</v>
      </c>
      <c r="C88" s="4">
        <f t="shared" si="3"/>
        <v>19560.75</v>
      </c>
      <c r="D88" s="4">
        <v>2008.0</v>
      </c>
      <c r="E88" s="4">
        <v>2061.0</v>
      </c>
      <c r="F88" s="4">
        <f t="shared" si="4"/>
        <v>53</v>
      </c>
      <c r="G88" s="4">
        <v>735.0</v>
      </c>
    </row>
    <row r="89">
      <c r="A89" s="4" t="s">
        <v>140</v>
      </c>
      <c r="B89" s="4" t="s">
        <v>137</v>
      </c>
      <c r="C89" s="4" t="s">
        <v>137</v>
      </c>
      <c r="D89" s="4" t="s">
        <v>137</v>
      </c>
      <c r="E89" s="4" t="s">
        <v>137</v>
      </c>
      <c r="F89" s="4" t="s">
        <v>137</v>
      </c>
      <c r="G89" s="4"/>
    </row>
    <row r="90">
      <c r="A90" s="22" t="s">
        <v>141</v>
      </c>
      <c r="B90" s="4">
        <v>409.0</v>
      </c>
      <c r="C90" s="4">
        <f t="shared" ref="C90:C116" si="5">B90*2.75</f>
        <v>1124.75</v>
      </c>
      <c r="D90" s="4">
        <v>4605.0</v>
      </c>
      <c r="E90" s="4">
        <v>4790.0</v>
      </c>
      <c r="F90" s="4">
        <f t="shared" ref="F90:F116" si="6">E90-D90</f>
        <v>185</v>
      </c>
      <c r="G90" s="4"/>
    </row>
    <row r="91">
      <c r="A91" s="4" t="s">
        <v>142</v>
      </c>
      <c r="B91" s="4">
        <v>56.0</v>
      </c>
      <c r="C91" s="4">
        <f t="shared" si="5"/>
        <v>154</v>
      </c>
      <c r="D91" s="4">
        <v>705.0</v>
      </c>
      <c r="E91" s="4">
        <v>712.0</v>
      </c>
      <c r="F91" s="4">
        <f t="shared" si="6"/>
        <v>7</v>
      </c>
      <c r="G91" s="4"/>
    </row>
    <row r="92">
      <c r="A92" s="4" t="s">
        <v>143</v>
      </c>
      <c r="B92" s="4">
        <v>305.0</v>
      </c>
      <c r="C92" s="4">
        <f t="shared" si="5"/>
        <v>838.75</v>
      </c>
      <c r="D92" s="4">
        <v>1891.0</v>
      </c>
      <c r="E92" s="4">
        <v>2025.0</v>
      </c>
      <c r="F92" s="4">
        <f t="shared" si="6"/>
        <v>134</v>
      </c>
      <c r="G92" s="4"/>
    </row>
    <row r="93">
      <c r="A93" s="4" t="s">
        <v>144</v>
      </c>
      <c r="B93" s="4">
        <v>0.0</v>
      </c>
      <c r="C93" s="4">
        <f t="shared" si="5"/>
        <v>0</v>
      </c>
      <c r="D93" s="4">
        <v>474.0</v>
      </c>
      <c r="E93" s="4">
        <v>477.0</v>
      </c>
      <c r="F93" s="4">
        <f t="shared" si="6"/>
        <v>3</v>
      </c>
      <c r="G93" s="4"/>
    </row>
    <row r="94">
      <c r="A94" s="4" t="s">
        <v>145</v>
      </c>
      <c r="B94" s="4">
        <v>0.0</v>
      </c>
      <c r="C94" s="4">
        <f t="shared" si="5"/>
        <v>0</v>
      </c>
      <c r="D94" s="4">
        <v>68.0</v>
      </c>
      <c r="E94" s="4">
        <v>68.0</v>
      </c>
      <c r="F94" s="4">
        <f t="shared" si="6"/>
        <v>0</v>
      </c>
      <c r="G94" s="4"/>
    </row>
    <row r="95">
      <c r="A95" s="4" t="s">
        <v>146</v>
      </c>
      <c r="B95" s="4">
        <v>5.0</v>
      </c>
      <c r="C95" s="4">
        <f t="shared" si="5"/>
        <v>13.75</v>
      </c>
      <c r="D95" s="4">
        <v>149.0</v>
      </c>
      <c r="E95" s="4">
        <v>149.0</v>
      </c>
      <c r="F95" s="4">
        <f t="shared" si="6"/>
        <v>0</v>
      </c>
      <c r="G95" s="4"/>
    </row>
    <row r="96">
      <c r="A96" s="4" t="s">
        <v>147</v>
      </c>
      <c r="B96" s="4">
        <v>42.0</v>
      </c>
      <c r="C96" s="4">
        <f t="shared" si="5"/>
        <v>115.5</v>
      </c>
      <c r="D96" s="4">
        <v>1056.0</v>
      </c>
      <c r="E96" s="4">
        <v>1062.0</v>
      </c>
      <c r="F96" s="4">
        <f t="shared" si="6"/>
        <v>6</v>
      </c>
      <c r="G96" s="4"/>
    </row>
    <row r="97">
      <c r="A97" s="4" t="s">
        <v>148</v>
      </c>
      <c r="B97" s="4">
        <v>0.0</v>
      </c>
      <c r="C97" s="4">
        <f t="shared" si="5"/>
        <v>0</v>
      </c>
      <c r="D97" s="4">
        <v>262.0</v>
      </c>
      <c r="E97" s="4">
        <v>297.0</v>
      </c>
      <c r="F97" s="4">
        <f t="shared" si="6"/>
        <v>35</v>
      </c>
      <c r="G97" s="4"/>
    </row>
    <row r="98">
      <c r="A98" s="22" t="s">
        <v>149</v>
      </c>
      <c r="B98" s="4">
        <v>12711.0</v>
      </c>
      <c r="C98" s="4">
        <f t="shared" si="5"/>
        <v>34955.25</v>
      </c>
      <c r="D98" s="4">
        <v>11846.0</v>
      </c>
      <c r="E98" s="4">
        <v>11927.0</v>
      </c>
      <c r="F98" s="4">
        <f t="shared" si="6"/>
        <v>81</v>
      </c>
      <c r="G98" s="4">
        <v>985.0</v>
      </c>
    </row>
    <row r="99">
      <c r="A99" s="24" t="s">
        <v>150</v>
      </c>
      <c r="B99" s="4">
        <v>4730.0</v>
      </c>
      <c r="C99" s="4">
        <f t="shared" si="5"/>
        <v>13007.5</v>
      </c>
      <c r="D99" s="4">
        <v>4269.0</v>
      </c>
      <c r="E99" s="4">
        <v>4324.0</v>
      </c>
      <c r="F99" s="4">
        <f t="shared" si="6"/>
        <v>55</v>
      </c>
      <c r="G99" s="4">
        <v>454.0</v>
      </c>
    </row>
    <row r="100">
      <c r="A100" s="4" t="s">
        <v>151</v>
      </c>
      <c r="B100" s="4">
        <v>6310.0</v>
      </c>
      <c r="C100" s="4">
        <f t="shared" si="5"/>
        <v>17352.5</v>
      </c>
      <c r="D100" s="4">
        <v>2512.0</v>
      </c>
      <c r="E100" s="4">
        <v>2516.0</v>
      </c>
      <c r="F100" s="4">
        <f t="shared" si="6"/>
        <v>4</v>
      </c>
      <c r="G100" s="4">
        <v>531.0</v>
      </c>
    </row>
    <row r="101">
      <c r="A101" s="4" t="s">
        <v>152</v>
      </c>
      <c r="B101" s="4">
        <v>534.0</v>
      </c>
      <c r="C101" s="4">
        <f t="shared" si="5"/>
        <v>1468.5</v>
      </c>
      <c r="D101" s="4">
        <v>1753.0</v>
      </c>
      <c r="E101" s="4">
        <v>1756.0</v>
      </c>
      <c r="F101" s="4">
        <f t="shared" si="6"/>
        <v>3</v>
      </c>
      <c r="G101" s="4"/>
    </row>
    <row r="102">
      <c r="A102" s="4" t="s">
        <v>153</v>
      </c>
      <c r="B102" s="4">
        <v>46.0</v>
      </c>
      <c r="C102" s="4">
        <f t="shared" si="5"/>
        <v>126.5</v>
      </c>
      <c r="D102" s="4">
        <v>1590.0</v>
      </c>
      <c r="E102" s="4">
        <v>1595.0</v>
      </c>
      <c r="F102" s="4">
        <f t="shared" si="6"/>
        <v>5</v>
      </c>
      <c r="G102" s="4"/>
    </row>
    <row r="103">
      <c r="A103" s="4" t="s">
        <v>154</v>
      </c>
      <c r="B103" s="4">
        <v>1091.0</v>
      </c>
      <c r="C103" s="4">
        <f t="shared" si="5"/>
        <v>3000.25</v>
      </c>
      <c r="D103" s="4">
        <v>1632.0</v>
      </c>
      <c r="E103" s="4">
        <v>1634.0</v>
      </c>
      <c r="F103" s="4">
        <f t="shared" si="6"/>
        <v>2</v>
      </c>
      <c r="G103" s="4"/>
    </row>
    <row r="104">
      <c r="A104" s="4" t="s">
        <v>148</v>
      </c>
      <c r="B104" s="4">
        <v>0.0</v>
      </c>
      <c r="C104" s="4">
        <f t="shared" si="5"/>
        <v>0</v>
      </c>
      <c r="D104" s="4">
        <v>91.0</v>
      </c>
      <c r="E104" s="4">
        <v>102.0</v>
      </c>
      <c r="F104" s="4">
        <f t="shared" si="6"/>
        <v>11</v>
      </c>
      <c r="G104" s="4"/>
    </row>
    <row r="105">
      <c r="A105" s="22" t="s">
        <v>155</v>
      </c>
      <c r="B105" s="4">
        <v>526.0</v>
      </c>
      <c r="C105" s="4">
        <f t="shared" si="5"/>
        <v>1446.5</v>
      </c>
      <c r="D105" s="4">
        <v>1397.0</v>
      </c>
      <c r="E105" s="4">
        <v>1968.0</v>
      </c>
      <c r="F105" s="4">
        <f t="shared" si="6"/>
        <v>571</v>
      </c>
      <c r="G105" s="4"/>
    </row>
    <row r="106">
      <c r="A106" s="4" t="s">
        <v>156</v>
      </c>
      <c r="B106" s="4">
        <v>0.0</v>
      </c>
      <c r="C106" s="4">
        <f t="shared" si="5"/>
        <v>0</v>
      </c>
      <c r="D106" s="4">
        <v>32.0</v>
      </c>
      <c r="E106" s="4">
        <v>36.0</v>
      </c>
      <c r="F106" s="4">
        <f t="shared" si="6"/>
        <v>4</v>
      </c>
      <c r="G106" s="4"/>
    </row>
    <row r="107">
      <c r="A107" s="24" t="s">
        <v>157</v>
      </c>
      <c r="B107" s="4">
        <v>53.0</v>
      </c>
      <c r="C107" s="4">
        <f t="shared" si="5"/>
        <v>145.75</v>
      </c>
      <c r="D107" s="4">
        <v>663.0</v>
      </c>
      <c r="E107" s="4">
        <v>690.0</v>
      </c>
      <c r="F107" s="4">
        <f t="shared" si="6"/>
        <v>27</v>
      </c>
      <c r="G107" s="4"/>
    </row>
    <row r="108">
      <c r="A108" s="4" t="s">
        <v>158</v>
      </c>
      <c r="B108" s="4">
        <v>0.0</v>
      </c>
      <c r="C108" s="4">
        <f t="shared" si="5"/>
        <v>0</v>
      </c>
      <c r="D108" s="4">
        <v>87.0</v>
      </c>
      <c r="E108" s="4">
        <v>105.0</v>
      </c>
      <c r="F108" s="4">
        <f t="shared" si="6"/>
        <v>18</v>
      </c>
      <c r="G108" s="4"/>
    </row>
    <row r="109">
      <c r="A109" s="4" t="s">
        <v>159</v>
      </c>
      <c r="B109" s="4">
        <v>0.0</v>
      </c>
      <c r="C109" s="4">
        <f t="shared" si="5"/>
        <v>0</v>
      </c>
      <c r="D109" s="4">
        <v>6.0</v>
      </c>
      <c r="E109" s="4">
        <v>45.0</v>
      </c>
      <c r="F109" s="4">
        <f t="shared" si="6"/>
        <v>39</v>
      </c>
      <c r="G109" s="4"/>
    </row>
    <row r="110">
      <c r="A110" s="4" t="s">
        <v>160</v>
      </c>
      <c r="B110" s="4">
        <v>473.0</v>
      </c>
      <c r="C110" s="4">
        <f t="shared" si="5"/>
        <v>1300.75</v>
      </c>
      <c r="D110" s="4">
        <v>534.0</v>
      </c>
      <c r="E110" s="4">
        <v>534.0</v>
      </c>
      <c r="F110" s="4">
        <f t="shared" si="6"/>
        <v>0</v>
      </c>
      <c r="G110" s="4"/>
    </row>
    <row r="111">
      <c r="A111" s="4" t="s">
        <v>161</v>
      </c>
      <c r="B111" s="4">
        <v>0.0</v>
      </c>
      <c r="C111" s="4">
        <f t="shared" si="5"/>
        <v>0</v>
      </c>
      <c r="D111" s="4">
        <v>76.0</v>
      </c>
      <c r="E111" s="4">
        <v>559.0</v>
      </c>
      <c r="F111" s="4">
        <f t="shared" si="6"/>
        <v>483</v>
      </c>
      <c r="G111" s="4"/>
    </row>
    <row r="112">
      <c r="A112" s="22" t="s">
        <v>162</v>
      </c>
      <c r="B112" s="4">
        <v>191.0</v>
      </c>
      <c r="C112" s="4">
        <f t="shared" si="5"/>
        <v>525.25</v>
      </c>
      <c r="D112" s="4">
        <v>859.0</v>
      </c>
      <c r="E112" s="4">
        <v>871.0</v>
      </c>
      <c r="F112" s="4">
        <f t="shared" si="6"/>
        <v>12</v>
      </c>
      <c r="G112" s="4"/>
    </row>
    <row r="113">
      <c r="A113" s="4" t="s">
        <v>163</v>
      </c>
      <c r="B113" s="4">
        <v>0.0</v>
      </c>
      <c r="C113" s="4">
        <f t="shared" si="5"/>
        <v>0</v>
      </c>
      <c r="D113" s="4">
        <v>529.0</v>
      </c>
      <c r="E113" s="4">
        <v>530.0</v>
      </c>
      <c r="F113" s="4">
        <f t="shared" si="6"/>
        <v>1</v>
      </c>
      <c r="G113" s="4"/>
    </row>
    <row r="114">
      <c r="A114" s="4" t="s">
        <v>164</v>
      </c>
      <c r="B114" s="4">
        <v>191.0</v>
      </c>
      <c r="C114" s="4">
        <f t="shared" si="5"/>
        <v>525.25</v>
      </c>
      <c r="D114" s="4">
        <v>239.0</v>
      </c>
      <c r="E114" s="4">
        <v>240.0</v>
      </c>
      <c r="F114" s="4">
        <f t="shared" si="6"/>
        <v>1</v>
      </c>
      <c r="G114" s="4"/>
    </row>
    <row r="115">
      <c r="A115" s="4" t="s">
        <v>165</v>
      </c>
      <c r="B115" s="4">
        <v>0.0</v>
      </c>
      <c r="C115" s="4">
        <f t="shared" si="5"/>
        <v>0</v>
      </c>
      <c r="D115" s="4">
        <v>5.0</v>
      </c>
      <c r="E115" s="4">
        <v>7.0</v>
      </c>
      <c r="F115" s="4">
        <f t="shared" si="6"/>
        <v>2</v>
      </c>
      <c r="G115" s="4"/>
    </row>
    <row r="116">
      <c r="A116" s="4" t="s">
        <v>166</v>
      </c>
      <c r="B116" s="4">
        <v>0.0</v>
      </c>
      <c r="C116" s="4">
        <f t="shared" si="5"/>
        <v>0</v>
      </c>
      <c r="D116" s="4">
        <v>86.0</v>
      </c>
      <c r="E116" s="4">
        <v>94.0</v>
      </c>
      <c r="F116" s="4">
        <f t="shared" si="6"/>
        <v>8</v>
      </c>
      <c r="G116" s="4"/>
    </row>
    <row r="117">
      <c r="A117" s="4" t="s">
        <v>167</v>
      </c>
    </row>
    <row r="118">
      <c r="A118" s="4"/>
    </row>
    <row r="119">
      <c r="B119" s="4" t="s">
        <v>117</v>
      </c>
      <c r="C119" s="4"/>
      <c r="D119" s="4"/>
      <c r="E119" s="4"/>
      <c r="F119" s="4"/>
      <c r="G119" s="4"/>
    </row>
    <row r="120">
      <c r="B120" s="4" t="s">
        <v>121</v>
      </c>
      <c r="C120" s="4" t="s">
        <v>122</v>
      </c>
      <c r="D120" s="4" t="s">
        <v>123</v>
      </c>
      <c r="E120" s="4" t="s">
        <v>124</v>
      </c>
      <c r="F120" s="4" t="s">
        <v>125</v>
      </c>
      <c r="G120" s="4" t="s">
        <v>126</v>
      </c>
    </row>
    <row r="121">
      <c r="A121" s="4" t="s">
        <v>313</v>
      </c>
      <c r="B121" s="12">
        <f>SUM(B91)</f>
        <v>56</v>
      </c>
      <c r="C121" s="12">
        <f>B121*2.75</f>
        <v>154</v>
      </c>
      <c r="D121" s="12">
        <f>SUM(D91)</f>
        <v>705</v>
      </c>
      <c r="E121" s="12">
        <f>E91</f>
        <v>712</v>
      </c>
      <c r="F121" s="12">
        <f t="shared" ref="F121:F122" si="8">E121-D121</f>
        <v>7</v>
      </c>
    </row>
    <row r="122">
      <c r="A122" s="4" t="s">
        <v>169</v>
      </c>
      <c r="B122" s="12">
        <f t="shared" ref="B122:E122" si="7">SUM(B112,B105,B98,B92:B97)</f>
        <v>13780</v>
      </c>
      <c r="C122" s="12">
        <f t="shared" si="7"/>
        <v>37895</v>
      </c>
      <c r="D122" s="12">
        <f t="shared" si="7"/>
        <v>18002</v>
      </c>
      <c r="E122" s="12">
        <f t="shared" si="7"/>
        <v>18844</v>
      </c>
      <c r="F122" s="12">
        <f t="shared" si="8"/>
        <v>842</v>
      </c>
      <c r="G122" s="12">
        <f>SUM(G112,G105,G98,G92:G97)</f>
        <v>985</v>
      </c>
    </row>
    <row r="123">
      <c r="A123" s="4" t="s">
        <v>314</v>
      </c>
      <c r="B123" s="4">
        <v>0.0</v>
      </c>
      <c r="C123" s="12">
        <v>0.0</v>
      </c>
      <c r="D123" s="4">
        <f t="shared" ref="D123:E123" si="9">485/0.3</f>
        <v>1616.666667</v>
      </c>
      <c r="E123" s="4">
        <f t="shared" si="9"/>
        <v>1616.666667</v>
      </c>
      <c r="F123" s="4">
        <v>0.0</v>
      </c>
      <c r="G123" s="4">
        <v>0.0</v>
      </c>
    </row>
    <row r="124">
      <c r="A124" s="4" t="s">
        <v>315</v>
      </c>
      <c r="B124" s="12">
        <f t="shared" ref="B124:C124" si="10">B121</f>
        <v>56</v>
      </c>
      <c r="C124" s="12">
        <f t="shared" si="10"/>
        <v>154</v>
      </c>
      <c r="D124" s="12">
        <f t="shared" ref="D124:E124" si="11">D123</f>
        <v>1616.666667</v>
      </c>
      <c r="E124" s="12">
        <f t="shared" si="11"/>
        <v>1616.666667</v>
      </c>
      <c r="F124" s="4">
        <v>0.0</v>
      </c>
      <c r="G124" s="4">
        <v>0.0</v>
      </c>
    </row>
    <row r="125">
      <c r="A125" s="4"/>
    </row>
    <row r="126">
      <c r="A126" s="13"/>
      <c r="B126" s="3" t="s">
        <v>172</v>
      </c>
    </row>
    <row r="127">
      <c r="A127" s="3" t="s">
        <v>173</v>
      </c>
      <c r="B127" s="13">
        <f>SUM(D122)-D124-G122</f>
        <v>15400.33333</v>
      </c>
      <c r="D127" s="4" t="s">
        <v>174</v>
      </c>
      <c r="E127" s="4" t="s">
        <v>316</v>
      </c>
    </row>
    <row r="128">
      <c r="A128" s="3" t="s">
        <v>176</v>
      </c>
      <c r="B128" s="13">
        <f>D124</f>
        <v>1616.666667</v>
      </c>
      <c r="D128" s="12">
        <f>G122/(SUM(B127,B129)+SUM(F121:F122))</f>
        <v>0.05715335667</v>
      </c>
      <c r="E128" s="12">
        <f>B127/(SUM(B127,B129)+SUM(F121:F122))</f>
        <v>0.8935845115</v>
      </c>
    </row>
    <row r="129">
      <c r="A129" s="3" t="s">
        <v>177</v>
      </c>
      <c r="B129" s="13">
        <f>G122</f>
        <v>985</v>
      </c>
    </row>
    <row r="130">
      <c r="A130" s="4"/>
    </row>
    <row r="131">
      <c r="A131" s="13"/>
      <c r="B131" s="3" t="s">
        <v>179</v>
      </c>
      <c r="C131" s="4" t="s">
        <v>317</v>
      </c>
    </row>
    <row r="132">
      <c r="A132" s="3" t="s">
        <v>180</v>
      </c>
      <c r="B132" s="13">
        <f>SUM(B122:B124)</f>
        <v>13836</v>
      </c>
      <c r="C132" s="12">
        <f>B132*2.75</f>
        <v>38049</v>
      </c>
    </row>
    <row r="133">
      <c r="A133" s="4"/>
    </row>
    <row r="134">
      <c r="A134" s="3" t="s">
        <v>318</v>
      </c>
    </row>
    <row r="135" ht="16.5" customHeight="1"/>
    <row r="137">
      <c r="B137" s="4" t="s">
        <v>290</v>
      </c>
      <c r="E137" s="4" t="s">
        <v>290</v>
      </c>
    </row>
    <row r="138">
      <c r="A138" s="4"/>
      <c r="B138" s="25" t="s">
        <v>183</v>
      </c>
      <c r="C138" s="25"/>
      <c r="E138" s="25" t="s">
        <v>183</v>
      </c>
    </row>
    <row r="139">
      <c r="A139" s="4" t="s">
        <v>86</v>
      </c>
      <c r="B139" s="12">
        <v>6119.19</v>
      </c>
      <c r="D139" s="4" t="s">
        <v>319</v>
      </c>
      <c r="E139" s="4">
        <v>522500.0</v>
      </c>
      <c r="G139" s="25"/>
    </row>
    <row r="140">
      <c r="A140" s="4" t="s">
        <v>88</v>
      </c>
      <c r="B140" s="12">
        <v>16770.050000000003</v>
      </c>
      <c r="E140" s="25" t="s">
        <v>185</v>
      </c>
    </row>
    <row r="141">
      <c r="A141" s="4" t="s">
        <v>90</v>
      </c>
      <c r="B141" s="12">
        <v>32110.760000000002</v>
      </c>
      <c r="D141" s="4" t="s">
        <v>180</v>
      </c>
      <c r="E141" s="4">
        <v>38049.0</v>
      </c>
      <c r="G141" s="25"/>
    </row>
    <row r="142">
      <c r="B142" s="25" t="s">
        <v>186</v>
      </c>
      <c r="C142" s="25"/>
      <c r="D142" s="4" t="s">
        <v>187</v>
      </c>
      <c r="E142" s="13">
        <f>SUM(E139,E141)</f>
        <v>560549</v>
      </c>
    </row>
    <row r="143">
      <c r="A143" s="4" t="s">
        <v>173</v>
      </c>
      <c r="B143" s="12">
        <v>15400.333333333332</v>
      </c>
      <c r="D143" s="4" t="s">
        <v>320</v>
      </c>
    </row>
    <row r="144">
      <c r="A144" s="4" t="s">
        <v>176</v>
      </c>
      <c r="B144" s="12">
        <v>1616.6666666666667</v>
      </c>
    </row>
    <row r="145">
      <c r="A145" s="4" t="s">
        <v>177</v>
      </c>
      <c r="B145" s="12">
        <v>985.0</v>
      </c>
      <c r="E145" s="4"/>
    </row>
    <row r="146">
      <c r="A146" s="3"/>
      <c r="B146" s="26" t="s">
        <v>189</v>
      </c>
      <c r="C146" s="25"/>
    </row>
    <row r="147">
      <c r="A147" s="3" t="s">
        <v>176</v>
      </c>
      <c r="B147" s="13">
        <f>B144</f>
        <v>1616.666667</v>
      </c>
    </row>
    <row r="148">
      <c r="A148" s="3" t="s">
        <v>321</v>
      </c>
      <c r="B148" s="13">
        <f>SUM(B145,B141,B139)</f>
        <v>39214.95</v>
      </c>
    </row>
    <row r="149">
      <c r="A149" s="3" t="s">
        <v>88</v>
      </c>
      <c r="B149" s="13">
        <f>SUM(B143,B140)</f>
        <v>32170.38333</v>
      </c>
    </row>
    <row r="150">
      <c r="A150" s="3" t="s">
        <v>194</v>
      </c>
      <c r="B150" s="13">
        <f>SUM(B147:B149)</f>
        <v>73002</v>
      </c>
    </row>
    <row r="151">
      <c r="A151" s="4" t="s">
        <v>195</v>
      </c>
    </row>
    <row r="154">
      <c r="A154" s="13"/>
      <c r="B154" s="13"/>
      <c r="C154" s="3" t="s">
        <v>176</v>
      </c>
      <c r="D154" s="3" t="s">
        <v>86</v>
      </c>
      <c r="E154" s="3" t="s">
        <v>88</v>
      </c>
      <c r="F154" s="3" t="s">
        <v>197</v>
      </c>
      <c r="G154" s="13"/>
      <c r="H154" s="13"/>
      <c r="I154" s="13"/>
      <c r="J154" s="13"/>
      <c r="K154" s="13"/>
      <c r="L154" s="13"/>
      <c r="M154" s="13"/>
      <c r="N154" s="13"/>
      <c r="O154" s="13"/>
      <c r="P154" s="13"/>
      <c r="Q154" s="13"/>
      <c r="R154" s="13"/>
      <c r="S154" s="13"/>
      <c r="T154" s="13"/>
      <c r="U154" s="13"/>
      <c r="V154" s="13"/>
      <c r="W154" s="13"/>
      <c r="X154" s="13"/>
      <c r="Y154" s="13"/>
      <c r="Z154" s="13"/>
      <c r="AA154" s="13"/>
    </row>
    <row r="155">
      <c r="A155" s="3" t="s">
        <v>290</v>
      </c>
      <c r="B155" s="3" t="s">
        <v>198</v>
      </c>
      <c r="C155" s="13">
        <f>0.9257*B144</f>
        <v>1496.548333</v>
      </c>
      <c r="D155" s="13">
        <f>B148*0.9908</f>
        <v>38854.17246</v>
      </c>
      <c r="E155" s="13">
        <f>B149*0.67005</f>
        <v>21555.76535</v>
      </c>
      <c r="F155" s="13">
        <f t="shared" ref="F155:F159" si="12">SUM(C155:E155)</f>
        <v>61906.48615</v>
      </c>
      <c r="G155" s="13"/>
      <c r="H155" s="13"/>
      <c r="I155" s="13"/>
      <c r="J155" s="13"/>
      <c r="K155" s="13"/>
      <c r="L155" s="13"/>
      <c r="M155" s="13"/>
      <c r="N155" s="13"/>
      <c r="O155" s="13"/>
      <c r="P155" s="13"/>
      <c r="Q155" s="13"/>
      <c r="R155" s="13"/>
      <c r="S155" s="13"/>
      <c r="T155" s="13"/>
      <c r="U155" s="13"/>
      <c r="V155" s="13"/>
      <c r="W155" s="13"/>
      <c r="X155" s="13"/>
      <c r="Y155" s="13"/>
      <c r="Z155" s="13"/>
      <c r="AA155" s="13"/>
    </row>
    <row r="156">
      <c r="A156" s="13"/>
      <c r="B156" s="3" t="s">
        <v>199</v>
      </c>
      <c r="C156" s="13">
        <f>0.039*B144</f>
        <v>63.05</v>
      </c>
      <c r="D156" s="3">
        <v>0.0</v>
      </c>
      <c r="E156" s="13">
        <f>B149*0.105</f>
        <v>3377.89025</v>
      </c>
      <c r="F156" s="13">
        <f t="shared" si="12"/>
        <v>3440.94025</v>
      </c>
      <c r="G156" s="13"/>
      <c r="H156" s="13"/>
      <c r="I156" s="13"/>
      <c r="J156" s="13"/>
      <c r="K156" s="13"/>
      <c r="L156" s="13"/>
      <c r="M156" s="13"/>
      <c r="N156" s="13"/>
      <c r="O156" s="13"/>
      <c r="P156" s="13"/>
      <c r="Q156" s="13"/>
      <c r="R156" s="13"/>
      <c r="S156" s="13"/>
      <c r="T156" s="13"/>
      <c r="U156" s="13"/>
      <c r="V156" s="13"/>
      <c r="W156" s="13"/>
      <c r="X156" s="13"/>
      <c r="Y156" s="13"/>
      <c r="Z156" s="13"/>
      <c r="AA156" s="13"/>
    </row>
    <row r="157">
      <c r="A157" s="13"/>
      <c r="B157" s="3" t="s">
        <v>200</v>
      </c>
      <c r="C157" s="13">
        <f>0.02*B144</f>
        <v>32.33333333</v>
      </c>
      <c r="D157" s="3">
        <v>0.0</v>
      </c>
      <c r="E157" s="13">
        <f>B149*0.195</f>
        <v>6273.22475</v>
      </c>
      <c r="F157" s="13">
        <f t="shared" si="12"/>
        <v>6305.558083</v>
      </c>
      <c r="G157" s="13"/>
      <c r="H157" s="13"/>
      <c r="I157" s="13"/>
      <c r="J157" s="13"/>
      <c r="K157" s="13"/>
      <c r="L157" s="13"/>
      <c r="M157" s="13"/>
      <c r="N157" s="13"/>
      <c r="O157" s="13"/>
      <c r="P157" s="13"/>
      <c r="Q157" s="13"/>
      <c r="R157" s="13"/>
      <c r="S157" s="13"/>
      <c r="T157" s="13"/>
      <c r="U157" s="13"/>
      <c r="V157" s="13"/>
      <c r="W157" s="13"/>
      <c r="X157" s="13"/>
      <c r="Y157" s="13"/>
      <c r="Z157" s="13"/>
      <c r="AA157" s="13"/>
    </row>
    <row r="158">
      <c r="A158" s="13"/>
      <c r="B158" s="3" t="s">
        <v>201</v>
      </c>
      <c r="C158" s="13">
        <f>0.004*B144</f>
        <v>6.466666667</v>
      </c>
      <c r="D158" s="13">
        <f>0.006*B148</f>
        <v>235.2897</v>
      </c>
      <c r="E158" s="13">
        <f>0.02*B149</f>
        <v>643.4076667</v>
      </c>
      <c r="F158" s="13">
        <f t="shared" si="12"/>
        <v>885.1640333</v>
      </c>
      <c r="G158" s="13"/>
      <c r="H158" s="13"/>
      <c r="I158" s="13"/>
      <c r="J158" s="13"/>
      <c r="K158" s="13"/>
      <c r="L158" s="13"/>
      <c r="M158" s="13"/>
      <c r="N158" s="13"/>
      <c r="O158" s="13"/>
      <c r="P158" s="13"/>
      <c r="Q158" s="13"/>
      <c r="R158" s="13"/>
      <c r="S158" s="13"/>
      <c r="T158" s="13"/>
      <c r="U158" s="13"/>
      <c r="V158" s="13"/>
      <c r="W158" s="13"/>
      <c r="X158" s="13"/>
      <c r="Y158" s="13"/>
      <c r="Z158" s="13"/>
      <c r="AA158" s="13"/>
    </row>
    <row r="159">
      <c r="A159" s="13"/>
      <c r="B159" s="3" t="s">
        <v>202</v>
      </c>
      <c r="C159" s="13">
        <f>0.006*B144</f>
        <v>9.7</v>
      </c>
      <c r="D159" s="3">
        <v>0.0</v>
      </c>
      <c r="E159" s="3">
        <v>0.0</v>
      </c>
      <c r="F159" s="13">
        <f t="shared" si="12"/>
        <v>9.7</v>
      </c>
      <c r="G159" s="13"/>
      <c r="H159" s="13"/>
      <c r="I159" s="13"/>
      <c r="J159" s="13"/>
      <c r="K159" s="13"/>
      <c r="L159" s="13"/>
      <c r="M159" s="13"/>
      <c r="N159" s="13"/>
      <c r="O159" s="13"/>
      <c r="P159" s="13"/>
      <c r="Q159" s="13"/>
      <c r="R159" s="13"/>
      <c r="S159" s="13"/>
      <c r="T159" s="13"/>
      <c r="U159" s="13"/>
      <c r="V159" s="13"/>
      <c r="W159" s="13"/>
      <c r="X159" s="13"/>
      <c r="Y159" s="13"/>
      <c r="Z159" s="13"/>
      <c r="AA159" s="13"/>
    </row>
    <row r="160">
      <c r="A160" s="4"/>
    </row>
    <row r="161">
      <c r="A161" s="5" t="s">
        <v>203</v>
      </c>
      <c r="B161" s="6"/>
      <c r="C161" s="6"/>
      <c r="D161" s="6"/>
      <c r="E161" s="6"/>
      <c r="F161" s="6"/>
      <c r="G161" s="6"/>
      <c r="H161" s="6"/>
      <c r="I161" s="6"/>
      <c r="J161" s="6"/>
      <c r="K161" s="6"/>
      <c r="L161" s="6"/>
      <c r="M161" s="6"/>
      <c r="N161" s="6"/>
      <c r="O161" s="6"/>
      <c r="P161" s="6"/>
      <c r="Q161" s="6"/>
      <c r="R161" s="6"/>
      <c r="S161" s="6"/>
      <c r="T161" s="6"/>
      <c r="U161" s="6"/>
      <c r="V161" s="6"/>
      <c r="W161" s="6"/>
      <c r="X161" s="6"/>
      <c r="Y161" s="6"/>
      <c r="Z161" s="6"/>
      <c r="AA161" s="6"/>
    </row>
    <row r="162">
      <c r="A162" s="34" t="s">
        <v>204</v>
      </c>
      <c r="B162" s="6"/>
      <c r="C162" s="6"/>
      <c r="D162" s="6"/>
      <c r="E162" s="6"/>
      <c r="F162" s="6"/>
      <c r="G162" s="6"/>
      <c r="H162" s="6"/>
      <c r="I162" s="6"/>
      <c r="J162" s="6"/>
      <c r="K162" s="6"/>
      <c r="L162" s="6"/>
      <c r="M162" s="6"/>
      <c r="N162" s="6"/>
      <c r="O162" s="6"/>
      <c r="P162" s="6"/>
      <c r="Q162" s="6"/>
      <c r="R162" s="6"/>
      <c r="S162" s="6"/>
      <c r="T162" s="6"/>
      <c r="U162" s="6"/>
      <c r="V162" s="6"/>
      <c r="W162" s="6"/>
      <c r="X162" s="6"/>
      <c r="Y162" s="6"/>
      <c r="Z162" s="6"/>
      <c r="AA162" s="6"/>
    </row>
    <row r="163">
      <c r="A163" s="35" t="s">
        <v>205</v>
      </c>
      <c r="B163" s="6"/>
      <c r="C163" s="6"/>
      <c r="D163" s="6"/>
      <c r="E163" s="6"/>
      <c r="F163" s="6"/>
      <c r="G163" s="6"/>
      <c r="H163" s="6"/>
      <c r="I163" s="6"/>
      <c r="J163" s="6"/>
      <c r="K163" s="6"/>
      <c r="L163" s="6"/>
      <c r="M163" s="6"/>
      <c r="N163" s="6"/>
      <c r="O163" s="6"/>
      <c r="P163" s="6"/>
      <c r="Q163" s="6"/>
      <c r="R163" s="6"/>
      <c r="S163" s="6"/>
      <c r="T163" s="6"/>
      <c r="U163" s="6"/>
      <c r="V163" s="6"/>
      <c r="W163" s="6"/>
      <c r="X163" s="6"/>
      <c r="Y163" s="6"/>
      <c r="Z163" s="6"/>
      <c r="AA163" s="6"/>
    </row>
    <row r="164">
      <c r="A164" s="36" t="s">
        <v>206</v>
      </c>
    </row>
    <row r="165">
      <c r="A165" s="4" t="s">
        <v>322</v>
      </c>
    </row>
    <row r="166">
      <c r="A166" s="13"/>
      <c r="B166" s="3" t="s">
        <v>172</v>
      </c>
    </row>
    <row r="167">
      <c r="A167" s="3" t="s">
        <v>228</v>
      </c>
      <c r="B167" s="13">
        <f>0.88/3.2</f>
        <v>0.275</v>
      </c>
    </row>
    <row r="168">
      <c r="A168" s="3" t="s">
        <v>229</v>
      </c>
      <c r="B168" s="13">
        <f>2.4/3.2</f>
        <v>0.75</v>
      </c>
    </row>
    <row r="169">
      <c r="A169" s="3" t="s">
        <v>230</v>
      </c>
      <c r="B169" s="13">
        <f>0.45/3.2</f>
        <v>0.140625</v>
      </c>
    </row>
    <row r="170">
      <c r="A170" s="3" t="s">
        <v>231</v>
      </c>
      <c r="B170" s="13">
        <f>0.15/3.2</f>
        <v>0.046875</v>
      </c>
    </row>
    <row r="172">
      <c r="A172" s="6"/>
      <c r="B172" s="5" t="s">
        <v>232</v>
      </c>
      <c r="C172" s="7" t="s">
        <v>233</v>
      </c>
      <c r="D172" s="6"/>
      <c r="E172" s="6"/>
      <c r="F172" s="6"/>
      <c r="G172" s="6"/>
      <c r="H172" s="6"/>
      <c r="I172" s="6"/>
      <c r="J172" s="6"/>
      <c r="K172" s="6"/>
      <c r="L172" s="6"/>
      <c r="M172" s="6"/>
      <c r="N172" s="6"/>
      <c r="O172" s="6"/>
      <c r="P172" s="6"/>
      <c r="Q172" s="6"/>
      <c r="R172" s="6"/>
      <c r="S172" s="6"/>
      <c r="T172" s="6"/>
      <c r="U172" s="6"/>
      <c r="V172" s="6"/>
      <c r="W172" s="6"/>
      <c r="X172" s="6"/>
      <c r="Y172" s="6"/>
      <c r="Z172" s="6"/>
      <c r="AA172" s="6"/>
    </row>
    <row r="173">
      <c r="A173" s="5"/>
      <c r="B173" s="7" t="s">
        <v>323</v>
      </c>
      <c r="C173" s="6"/>
      <c r="D173" s="6"/>
      <c r="E173" s="6"/>
      <c r="F173" s="6"/>
      <c r="G173" s="6"/>
      <c r="H173" s="6"/>
      <c r="I173" s="6"/>
      <c r="J173" s="6"/>
      <c r="K173" s="6"/>
      <c r="L173" s="6"/>
      <c r="M173" s="6"/>
      <c r="N173" s="6"/>
      <c r="O173" s="6"/>
      <c r="P173" s="6"/>
      <c r="Q173" s="6"/>
      <c r="R173" s="6"/>
      <c r="S173" s="6"/>
      <c r="T173" s="6"/>
      <c r="U173" s="6"/>
      <c r="V173" s="6"/>
      <c r="W173" s="6"/>
      <c r="X173" s="6"/>
      <c r="Y173" s="6"/>
      <c r="Z173" s="6"/>
      <c r="AA173" s="6"/>
    </row>
    <row r="174">
      <c r="A174" s="5"/>
      <c r="B174" s="7" t="s">
        <v>324</v>
      </c>
      <c r="C174" s="6"/>
      <c r="D174" s="6"/>
      <c r="E174" s="6"/>
      <c r="F174" s="6"/>
      <c r="G174" s="6"/>
      <c r="H174" s="6"/>
      <c r="I174" s="6"/>
      <c r="J174" s="6"/>
      <c r="K174" s="6"/>
      <c r="L174" s="6"/>
      <c r="M174" s="6"/>
      <c r="N174" s="6"/>
      <c r="O174" s="6"/>
      <c r="P174" s="6"/>
      <c r="Q174" s="6"/>
      <c r="R174" s="6"/>
      <c r="S174" s="6"/>
      <c r="T174" s="6"/>
      <c r="U174" s="6"/>
      <c r="V174" s="6"/>
      <c r="W174" s="6"/>
      <c r="X174" s="6"/>
      <c r="Y174" s="6"/>
      <c r="Z174" s="6"/>
      <c r="AA174" s="6"/>
    </row>
    <row r="175">
      <c r="A175" s="5"/>
      <c r="B175" s="7" t="s">
        <v>325</v>
      </c>
      <c r="C175" s="6"/>
      <c r="D175" s="6"/>
      <c r="E175" s="6"/>
      <c r="F175" s="6"/>
      <c r="G175" s="6"/>
      <c r="H175" s="6"/>
      <c r="I175" s="6"/>
      <c r="J175" s="6"/>
      <c r="K175" s="6"/>
      <c r="L175" s="6"/>
      <c r="M175" s="6"/>
      <c r="N175" s="6"/>
      <c r="O175" s="6"/>
      <c r="P175" s="6"/>
      <c r="Q175" s="6"/>
      <c r="R175" s="6"/>
      <c r="S175" s="6"/>
      <c r="T175" s="6"/>
      <c r="U175" s="6"/>
      <c r="V175" s="6"/>
      <c r="W175" s="6"/>
      <c r="X175" s="6"/>
      <c r="Y175" s="6"/>
      <c r="Z175" s="6"/>
      <c r="AA175" s="6"/>
    </row>
    <row r="176">
      <c r="A176" s="5"/>
      <c r="B176" s="5" t="s">
        <v>237</v>
      </c>
      <c r="C176" s="6"/>
      <c r="D176" s="6"/>
      <c r="E176" s="6"/>
      <c r="F176" s="6"/>
      <c r="G176" s="6"/>
      <c r="H176" s="6"/>
      <c r="I176" s="6"/>
      <c r="J176" s="6"/>
      <c r="K176" s="6"/>
      <c r="L176" s="6"/>
      <c r="M176" s="6"/>
      <c r="N176" s="6"/>
      <c r="O176" s="6"/>
      <c r="P176" s="6"/>
      <c r="Q176" s="6"/>
      <c r="R176" s="6"/>
      <c r="S176" s="6"/>
      <c r="T176" s="6"/>
      <c r="U176" s="6"/>
      <c r="V176" s="6"/>
      <c r="W176" s="6"/>
      <c r="X176" s="6"/>
      <c r="Y176" s="6"/>
      <c r="Z176" s="6"/>
      <c r="AA176" s="6"/>
    </row>
    <row r="177">
      <c r="A177" s="5"/>
      <c r="B177" s="7" t="s">
        <v>326</v>
      </c>
      <c r="C177" s="6"/>
      <c r="D177" s="6"/>
      <c r="E177" s="6"/>
      <c r="F177" s="6"/>
      <c r="G177" s="6"/>
      <c r="H177" s="6"/>
      <c r="I177" s="6"/>
      <c r="J177" s="6"/>
      <c r="K177" s="6"/>
      <c r="L177" s="6"/>
      <c r="M177" s="6"/>
      <c r="N177" s="6"/>
      <c r="O177" s="6"/>
      <c r="P177" s="6"/>
      <c r="Q177" s="6"/>
      <c r="R177" s="6"/>
      <c r="S177" s="6"/>
      <c r="T177" s="6"/>
      <c r="U177" s="6"/>
      <c r="V177" s="6"/>
      <c r="W177" s="6"/>
      <c r="X177" s="6"/>
      <c r="Y177" s="6"/>
      <c r="Z177" s="6"/>
      <c r="AA177" s="6"/>
    </row>
    <row r="178">
      <c r="A178" s="5"/>
      <c r="B178" s="5" t="s">
        <v>239</v>
      </c>
      <c r="C178" s="6"/>
      <c r="D178" s="6"/>
      <c r="E178" s="6"/>
      <c r="F178" s="6"/>
      <c r="G178" s="6"/>
      <c r="H178" s="6"/>
      <c r="I178" s="6"/>
      <c r="J178" s="6"/>
      <c r="K178" s="6"/>
      <c r="L178" s="6"/>
      <c r="M178" s="6"/>
      <c r="N178" s="6"/>
      <c r="O178" s="6"/>
      <c r="P178" s="6"/>
      <c r="Q178" s="6"/>
      <c r="R178" s="6"/>
      <c r="S178" s="6"/>
      <c r="T178" s="6"/>
      <c r="U178" s="6"/>
      <c r="V178" s="6"/>
      <c r="W178" s="6"/>
      <c r="X178" s="6"/>
      <c r="Y178" s="6"/>
      <c r="Z178" s="6"/>
      <c r="AA178" s="6"/>
    </row>
    <row r="179">
      <c r="A179" s="4"/>
      <c r="B179" s="4"/>
    </row>
    <row r="180">
      <c r="A180" s="4"/>
      <c r="B180" s="3" t="s">
        <v>240</v>
      </c>
      <c r="C180" s="13"/>
      <c r="D180" s="13"/>
      <c r="E180" s="13"/>
      <c r="F180" s="13"/>
    </row>
    <row r="181">
      <c r="A181" s="4"/>
      <c r="B181" s="3" t="s">
        <v>241</v>
      </c>
      <c r="C181" s="13"/>
      <c r="D181" s="13"/>
      <c r="E181" s="13"/>
      <c r="F181" s="13"/>
    </row>
    <row r="183">
      <c r="C183" s="4" t="s">
        <v>172</v>
      </c>
      <c r="D183" s="4" t="s">
        <v>108</v>
      </c>
    </row>
    <row r="184">
      <c r="B184" s="3" t="s">
        <v>242</v>
      </c>
      <c r="C184" s="3">
        <v>47.0</v>
      </c>
      <c r="D184" s="3" t="s">
        <v>243</v>
      </c>
    </row>
    <row r="185">
      <c r="B185" s="4"/>
      <c r="C185" s="4"/>
      <c r="D185" s="4" t="s">
        <v>244</v>
      </c>
    </row>
    <row r="186">
      <c r="B186" s="4"/>
      <c r="C186" s="4"/>
      <c r="D186" s="4"/>
    </row>
    <row r="187">
      <c r="B187" s="4"/>
      <c r="C187" s="4" t="s">
        <v>172</v>
      </c>
      <c r="D187" s="4" t="s">
        <v>108</v>
      </c>
    </row>
    <row r="188">
      <c r="B188" s="1" t="s">
        <v>245</v>
      </c>
      <c r="C188" s="1">
        <v>1.64</v>
      </c>
      <c r="D188" s="1" t="s">
        <v>246</v>
      </c>
    </row>
    <row r="189">
      <c r="B189" s="1" t="s">
        <v>245</v>
      </c>
      <c r="C189" s="1">
        <v>4.6</v>
      </c>
      <c r="D189" s="1" t="s">
        <v>247</v>
      </c>
    </row>
    <row r="190">
      <c r="B190" s="37" t="s">
        <v>248</v>
      </c>
      <c r="C190" s="37">
        <v>64.0</v>
      </c>
      <c r="D190" s="37" t="s">
        <v>249</v>
      </c>
    </row>
    <row r="191">
      <c r="B191" s="37" t="s">
        <v>248</v>
      </c>
      <c r="C191" s="37">
        <v>200.0</v>
      </c>
      <c r="D191" s="37" t="s">
        <v>250</v>
      </c>
    </row>
    <row r="192">
      <c r="B192" s="37" t="s">
        <v>248</v>
      </c>
      <c r="C192" s="37">
        <v>560.0</v>
      </c>
      <c r="D192" s="37" t="s">
        <v>251</v>
      </c>
    </row>
    <row r="193">
      <c r="B193" s="37" t="s">
        <v>248</v>
      </c>
      <c r="C193" s="37">
        <v>18.0</v>
      </c>
      <c r="D193" s="37" t="s">
        <v>252</v>
      </c>
    </row>
    <row r="194">
      <c r="B194" s="3" t="s">
        <v>253</v>
      </c>
      <c r="C194" s="3">
        <v>5.0</v>
      </c>
      <c r="D194" s="3" t="s">
        <v>254</v>
      </c>
    </row>
    <row r="195">
      <c r="B195" s="1" t="s">
        <v>255</v>
      </c>
      <c r="C195" s="1">
        <v>783.0</v>
      </c>
      <c r="D195" s="1" t="s">
        <v>256</v>
      </c>
    </row>
    <row r="196">
      <c r="B196" s="1" t="s">
        <v>201</v>
      </c>
      <c r="C196" s="1">
        <v>75.0</v>
      </c>
      <c r="D196" s="1" t="s">
        <v>257</v>
      </c>
    </row>
    <row r="197">
      <c r="B197" s="1" t="s">
        <v>202</v>
      </c>
      <c r="C197" s="1">
        <v>71.0</v>
      </c>
      <c r="D197" s="1" t="s">
        <v>258</v>
      </c>
    </row>
    <row r="198">
      <c r="B198" s="1" t="s">
        <v>202</v>
      </c>
      <c r="C198" s="1">
        <v>164.0</v>
      </c>
      <c r="D198" s="1" t="s">
        <v>259</v>
      </c>
    </row>
    <row r="199">
      <c r="B199" s="1" t="s">
        <v>200</v>
      </c>
      <c r="C199" s="1">
        <v>415.0</v>
      </c>
      <c r="D199" s="1" t="s">
        <v>260</v>
      </c>
    </row>
    <row r="200">
      <c r="B200" s="1" t="s">
        <v>199</v>
      </c>
      <c r="C200" s="1">
        <v>485.0</v>
      </c>
      <c r="D200" s="1" t="s">
        <v>261</v>
      </c>
    </row>
    <row r="201">
      <c r="B201" s="3" t="s">
        <v>262</v>
      </c>
      <c r="C201" s="3">
        <v>2.0</v>
      </c>
      <c r="D201" s="3" t="s">
        <v>263</v>
      </c>
    </row>
    <row r="202">
      <c r="B202" s="4" t="s">
        <v>264</v>
      </c>
      <c r="C202" s="4">
        <v>0.6</v>
      </c>
      <c r="D202" s="4" t="s">
        <v>265</v>
      </c>
    </row>
    <row r="203">
      <c r="B203" s="4" t="s">
        <v>266</v>
      </c>
      <c r="C203" s="4">
        <v>1.5</v>
      </c>
      <c r="D203" s="4" t="s">
        <v>267</v>
      </c>
    </row>
    <row r="204">
      <c r="B204" s="4" t="s">
        <v>268</v>
      </c>
      <c r="C204" s="4">
        <v>0.0</v>
      </c>
      <c r="D204" s="4" t="s">
        <v>269</v>
      </c>
    </row>
    <row r="206">
      <c r="A206" s="4" t="s">
        <v>327</v>
      </c>
    </row>
    <row r="208">
      <c r="A208" s="4" t="s">
        <v>270</v>
      </c>
    </row>
    <row r="209">
      <c r="B209" s="4" t="s">
        <v>271</v>
      </c>
    </row>
    <row r="210">
      <c r="B210" s="4" t="s">
        <v>290</v>
      </c>
      <c r="C210" s="4" t="s">
        <v>108</v>
      </c>
    </row>
    <row r="211">
      <c r="A211" s="4" t="s">
        <v>176</v>
      </c>
      <c r="B211" s="12">
        <v>1616.6666666666667</v>
      </c>
      <c r="C211" s="10"/>
    </row>
    <row r="212">
      <c r="A212" s="4" t="s">
        <v>193</v>
      </c>
      <c r="B212" s="12">
        <v>39214.950000000004</v>
      </c>
      <c r="C212" s="10"/>
    </row>
    <row r="213">
      <c r="A213" s="4" t="s">
        <v>88</v>
      </c>
      <c r="B213" s="12">
        <v>32170.383333333335</v>
      </c>
      <c r="C213" s="10"/>
    </row>
    <row r="214">
      <c r="A214" s="38" t="s">
        <v>272</v>
      </c>
      <c r="B214" s="45">
        <v>73002.0</v>
      </c>
      <c r="C214" s="38"/>
    </row>
    <row r="215">
      <c r="A215" s="4"/>
      <c r="B215" s="4"/>
      <c r="C215" s="10"/>
    </row>
    <row r="216">
      <c r="A216" s="4"/>
      <c r="B216" s="4"/>
      <c r="C216" s="10"/>
    </row>
    <row r="217">
      <c r="A217" s="4"/>
      <c r="B217" s="4" t="s">
        <v>290</v>
      </c>
      <c r="C217" s="4" t="s">
        <v>108</v>
      </c>
    </row>
    <row r="218">
      <c r="A218" s="39" t="s">
        <v>273</v>
      </c>
      <c r="B218" s="39">
        <v>560549.0</v>
      </c>
      <c r="C218" s="38"/>
    </row>
    <row r="220">
      <c r="A220" s="4" t="s">
        <v>172</v>
      </c>
      <c r="B220" s="4" t="s">
        <v>290</v>
      </c>
      <c r="C220" s="4" t="s">
        <v>108</v>
      </c>
    </row>
    <row r="221">
      <c r="A221" s="3" t="s">
        <v>274</v>
      </c>
      <c r="B221" s="3">
        <v>100.0</v>
      </c>
      <c r="C221" s="4"/>
    </row>
    <row r="222">
      <c r="A222" s="3" t="s">
        <v>275</v>
      </c>
      <c r="B222" s="3">
        <v>6305.0</v>
      </c>
      <c r="C222" s="11"/>
    </row>
    <row r="223">
      <c r="A223" s="3" t="s">
        <v>276</v>
      </c>
      <c r="B223" s="3">
        <v>1470.0</v>
      </c>
    </row>
    <row r="224">
      <c r="A224" s="3" t="s">
        <v>277</v>
      </c>
      <c r="B224" s="3">
        <v>0.0</v>
      </c>
      <c r="C224" s="4"/>
    </row>
    <row r="225">
      <c r="A225" s="3" t="s">
        <v>278</v>
      </c>
      <c r="B225" s="3">
        <v>61906.0</v>
      </c>
    </row>
    <row r="226">
      <c r="A226" s="3" t="s">
        <v>279</v>
      </c>
      <c r="B226" s="3">
        <v>47.0</v>
      </c>
    </row>
    <row r="227">
      <c r="A227" s="3" t="s">
        <v>280</v>
      </c>
      <c r="B227" s="3">
        <v>885.0</v>
      </c>
      <c r="C227" s="11"/>
    </row>
    <row r="228">
      <c r="A228" s="3" t="s">
        <v>281</v>
      </c>
      <c r="B228" s="3">
        <v>10.0</v>
      </c>
    </row>
    <row r="229">
      <c r="A229" s="3" t="s">
        <v>282</v>
      </c>
      <c r="B229" s="3">
        <v>3441.0</v>
      </c>
      <c r="C229" s="11"/>
    </row>
    <row r="230">
      <c r="A230" s="3" t="s">
        <v>283</v>
      </c>
      <c r="B230" s="3">
        <v>2.0</v>
      </c>
      <c r="C230" s="11"/>
    </row>
    <row r="231">
      <c r="A231" s="3" t="s">
        <v>284</v>
      </c>
      <c r="B231" s="3">
        <v>0.0</v>
      </c>
    </row>
    <row r="232">
      <c r="A232" s="3" t="s">
        <v>285</v>
      </c>
      <c r="B232" s="3">
        <v>0.0</v>
      </c>
      <c r="C232" s="11"/>
    </row>
    <row r="233">
      <c r="A233" s="3" t="s">
        <v>286</v>
      </c>
      <c r="B233" s="3">
        <v>5.0</v>
      </c>
      <c r="C233" s="11"/>
    </row>
    <row r="241">
      <c r="A241" s="6"/>
      <c r="B241" s="5" t="s">
        <v>328</v>
      </c>
      <c r="C241" s="6"/>
      <c r="D241" s="6"/>
      <c r="E241" s="6"/>
      <c r="F241" s="5" t="s">
        <v>329</v>
      </c>
      <c r="G241" s="6"/>
      <c r="H241" s="6"/>
      <c r="I241" s="6"/>
      <c r="J241" s="6"/>
      <c r="K241" s="6"/>
      <c r="L241" s="6"/>
      <c r="M241" s="6"/>
      <c r="N241" s="6"/>
      <c r="O241" s="6"/>
      <c r="P241" s="6"/>
      <c r="Q241" s="6"/>
      <c r="R241" s="6"/>
      <c r="S241" s="6"/>
      <c r="T241" s="6"/>
      <c r="U241" s="6"/>
      <c r="V241" s="6"/>
      <c r="W241" s="6"/>
      <c r="X241" s="6"/>
      <c r="Y241" s="6"/>
      <c r="Z241" s="6"/>
    </row>
    <row r="242">
      <c r="A242" s="6"/>
      <c r="B242" s="5" t="s">
        <v>330</v>
      </c>
      <c r="C242" s="6"/>
      <c r="D242" s="6"/>
      <c r="E242" s="6"/>
      <c r="F242" s="6"/>
      <c r="G242" s="6"/>
      <c r="H242" s="6"/>
      <c r="I242" s="6"/>
      <c r="J242" s="6"/>
      <c r="K242" s="6"/>
      <c r="L242" s="6"/>
      <c r="M242" s="6"/>
      <c r="N242" s="6"/>
      <c r="O242" s="6"/>
      <c r="P242" s="6"/>
      <c r="Q242" s="6"/>
      <c r="R242" s="6"/>
      <c r="S242" s="6"/>
      <c r="T242" s="6"/>
      <c r="U242" s="6"/>
      <c r="V242" s="6"/>
      <c r="W242" s="6"/>
      <c r="X242" s="6"/>
      <c r="Y242" s="6"/>
      <c r="Z242" s="6"/>
    </row>
    <row r="243">
      <c r="A243" s="6"/>
      <c r="B243" s="5" t="s">
        <v>331</v>
      </c>
      <c r="C243" s="6"/>
      <c r="D243" s="6"/>
      <c r="E243" s="6"/>
      <c r="F243" s="6"/>
      <c r="G243" s="6"/>
      <c r="H243" s="6"/>
      <c r="I243" s="6"/>
      <c r="J243" s="6"/>
      <c r="K243" s="6"/>
      <c r="L243" s="6"/>
      <c r="M243" s="6"/>
      <c r="N243" s="6"/>
      <c r="O243" s="6"/>
      <c r="P243" s="6"/>
      <c r="Q243" s="6"/>
      <c r="R243" s="6"/>
      <c r="S243" s="6"/>
      <c r="T243" s="6"/>
      <c r="U243" s="6"/>
      <c r="V243" s="6"/>
      <c r="W243" s="6"/>
      <c r="X243" s="6"/>
      <c r="Y243" s="6"/>
      <c r="Z243" s="6"/>
    </row>
    <row r="244">
      <c r="A244" s="6"/>
      <c r="B244" s="5" t="s">
        <v>332</v>
      </c>
      <c r="C244" s="5"/>
      <c r="D244" s="5"/>
      <c r="E244" s="6"/>
      <c r="F244" s="6"/>
      <c r="G244" s="6"/>
      <c r="H244" s="6"/>
      <c r="I244" s="6"/>
      <c r="J244" s="6"/>
      <c r="K244" s="6"/>
      <c r="L244" s="6"/>
      <c r="M244" s="6"/>
      <c r="N244" s="6"/>
      <c r="O244" s="6"/>
      <c r="P244" s="6"/>
      <c r="Q244" s="6"/>
      <c r="R244" s="6"/>
      <c r="S244" s="6"/>
      <c r="T244" s="6"/>
      <c r="U244" s="6"/>
      <c r="V244" s="6"/>
      <c r="W244" s="6"/>
      <c r="X244" s="6"/>
      <c r="Y244" s="6"/>
      <c r="Z244" s="6"/>
    </row>
    <row r="245">
      <c r="B245" s="40" t="s">
        <v>333</v>
      </c>
    </row>
    <row r="246">
      <c r="B246" s="4" t="s">
        <v>334</v>
      </c>
    </row>
    <row r="248">
      <c r="C248" s="4" t="s">
        <v>335</v>
      </c>
      <c r="D248" s="4" t="s">
        <v>336</v>
      </c>
      <c r="E248" s="4" t="s">
        <v>337</v>
      </c>
      <c r="F248" s="4" t="s">
        <v>338</v>
      </c>
    </row>
    <row r="249">
      <c r="B249" s="4" t="s">
        <v>339</v>
      </c>
      <c r="C249" s="4">
        <v>316444.0</v>
      </c>
      <c r="D249" s="4">
        <v>57777.0</v>
      </c>
      <c r="E249" s="4">
        <v>15555.0</v>
      </c>
      <c r="F249" s="4">
        <v>42222.0</v>
      </c>
    </row>
    <row r="251">
      <c r="B251" s="4" t="s">
        <v>340</v>
      </c>
    </row>
    <row r="252">
      <c r="B252" s="4" t="s">
        <v>341</v>
      </c>
    </row>
    <row r="253">
      <c r="B253" s="4" t="s">
        <v>342</v>
      </c>
    </row>
    <row r="254">
      <c r="A254" s="6"/>
      <c r="B254" s="46" t="s">
        <v>203</v>
      </c>
      <c r="C254" s="6"/>
      <c r="D254" s="6"/>
      <c r="E254" s="6"/>
      <c r="F254" s="6"/>
      <c r="G254" s="6"/>
      <c r="H254" s="6"/>
      <c r="I254" s="6"/>
      <c r="J254" s="6"/>
      <c r="K254" s="6"/>
      <c r="L254" s="6"/>
      <c r="M254" s="6"/>
      <c r="N254" s="6"/>
      <c r="O254" s="6"/>
      <c r="P254" s="6"/>
      <c r="Q254" s="6"/>
      <c r="R254" s="6"/>
      <c r="S254" s="6"/>
      <c r="T254" s="6"/>
      <c r="U254" s="6"/>
      <c r="V254" s="6"/>
      <c r="W254" s="6"/>
      <c r="X254" s="6"/>
      <c r="Y254" s="6"/>
      <c r="Z254" s="6"/>
      <c r="AA254" s="6"/>
    </row>
    <row r="255">
      <c r="A255" s="6"/>
      <c r="B255" s="34" t="s">
        <v>204</v>
      </c>
      <c r="C255" s="6"/>
      <c r="D255" s="6"/>
      <c r="E255" s="6"/>
      <c r="F255" s="6"/>
      <c r="G255" s="6"/>
      <c r="H255" s="6"/>
      <c r="I255" s="6"/>
      <c r="J255" s="6"/>
      <c r="K255" s="6"/>
      <c r="L255" s="6"/>
      <c r="M255" s="6"/>
      <c r="N255" s="6"/>
      <c r="O255" s="6"/>
      <c r="P255" s="6"/>
      <c r="Q255" s="6"/>
      <c r="R255" s="6"/>
      <c r="S255" s="6"/>
      <c r="T255" s="6"/>
      <c r="U255" s="6"/>
      <c r="V255" s="6"/>
      <c r="W255" s="6"/>
      <c r="X255" s="6"/>
      <c r="Y255" s="6"/>
      <c r="Z255" s="6"/>
      <c r="AA255" s="6"/>
    </row>
    <row r="256">
      <c r="A256" s="6"/>
      <c r="B256" s="35" t="s">
        <v>205</v>
      </c>
      <c r="C256" s="6"/>
      <c r="D256" s="6"/>
      <c r="E256" s="6"/>
      <c r="F256" s="6"/>
      <c r="G256" s="6"/>
      <c r="H256" s="6"/>
      <c r="I256" s="6"/>
      <c r="J256" s="6"/>
      <c r="K256" s="6"/>
      <c r="L256" s="6"/>
      <c r="M256" s="6"/>
      <c r="N256" s="6"/>
      <c r="O256" s="6"/>
      <c r="P256" s="6"/>
      <c r="Q256" s="6"/>
      <c r="R256" s="6"/>
      <c r="S256" s="6"/>
      <c r="T256" s="6"/>
      <c r="U256" s="6"/>
      <c r="V256" s="6"/>
      <c r="W256" s="6"/>
      <c r="X256" s="6"/>
      <c r="Y256" s="6"/>
      <c r="Z256" s="6"/>
      <c r="AA256" s="6"/>
    </row>
    <row r="257">
      <c r="A257" s="6"/>
      <c r="B257" s="46" t="s">
        <v>222</v>
      </c>
      <c r="C257" s="6"/>
      <c r="D257" s="6"/>
      <c r="E257" s="6"/>
      <c r="F257" s="6"/>
      <c r="G257" s="6"/>
      <c r="H257" s="6"/>
      <c r="I257" s="6"/>
      <c r="J257" s="6"/>
      <c r="K257" s="6"/>
      <c r="L257" s="6"/>
      <c r="M257" s="6"/>
      <c r="N257" s="6"/>
      <c r="O257" s="6"/>
      <c r="P257" s="6"/>
      <c r="Q257" s="6"/>
      <c r="R257" s="6"/>
      <c r="S257" s="6"/>
      <c r="T257" s="6"/>
      <c r="U257" s="6"/>
      <c r="V257" s="6"/>
      <c r="W257" s="6"/>
      <c r="X257" s="6"/>
      <c r="Y257" s="6"/>
      <c r="Z257" s="6"/>
      <c r="AA257" s="6"/>
    </row>
    <row r="258">
      <c r="A258" s="6"/>
      <c r="B258" s="7" t="s">
        <v>223</v>
      </c>
      <c r="C258" s="6"/>
      <c r="D258" s="6"/>
      <c r="E258" s="6"/>
      <c r="F258" s="6"/>
      <c r="G258" s="6"/>
      <c r="H258" s="6"/>
      <c r="I258" s="6"/>
      <c r="J258" s="6"/>
      <c r="K258" s="6"/>
      <c r="L258" s="6"/>
      <c r="M258" s="6"/>
      <c r="N258" s="6"/>
      <c r="O258" s="6"/>
      <c r="P258" s="6"/>
      <c r="Q258" s="6"/>
      <c r="R258" s="6"/>
      <c r="S258" s="6"/>
      <c r="T258" s="6"/>
      <c r="U258" s="6"/>
      <c r="V258" s="6"/>
      <c r="W258" s="6"/>
      <c r="X258" s="6"/>
      <c r="Y258" s="6"/>
      <c r="Z258" s="6"/>
      <c r="AA258" s="6"/>
    </row>
    <row r="259">
      <c r="A259" s="6"/>
      <c r="B259" s="5" t="s">
        <v>224</v>
      </c>
      <c r="C259" s="6"/>
      <c r="D259" s="6"/>
      <c r="E259" s="6"/>
      <c r="F259" s="6"/>
      <c r="G259" s="6"/>
      <c r="H259" s="6"/>
      <c r="I259" s="6"/>
      <c r="J259" s="6"/>
      <c r="K259" s="6"/>
      <c r="L259" s="6"/>
      <c r="M259" s="6"/>
      <c r="N259" s="6"/>
      <c r="O259" s="6"/>
      <c r="P259" s="6"/>
      <c r="Q259" s="6"/>
      <c r="R259" s="6"/>
      <c r="S259" s="6"/>
      <c r="T259" s="6"/>
      <c r="U259" s="6"/>
      <c r="V259" s="6"/>
      <c r="W259" s="6"/>
      <c r="X259" s="6"/>
      <c r="Y259" s="6"/>
      <c r="Z259" s="6"/>
      <c r="AA259" s="6"/>
    </row>
    <row r="261">
      <c r="B261" s="4" t="s">
        <v>343</v>
      </c>
    </row>
    <row r="262">
      <c r="B262" s="13"/>
      <c r="C262" s="3" t="s">
        <v>227</v>
      </c>
    </row>
    <row r="263">
      <c r="B263" s="13"/>
      <c r="C263" s="3" t="s">
        <v>172</v>
      </c>
    </row>
    <row r="264">
      <c r="B264" s="3" t="s">
        <v>228</v>
      </c>
      <c r="C264" s="13">
        <f>0.88*2.8/3.2</f>
        <v>0.77</v>
      </c>
    </row>
    <row r="265">
      <c r="B265" s="3" t="s">
        <v>229</v>
      </c>
      <c r="C265" s="13">
        <f>2.4*2.8/3.2</f>
        <v>2.1</v>
      </c>
      <c r="D265" s="4" t="s">
        <v>344</v>
      </c>
    </row>
    <row r="266">
      <c r="B266" s="3" t="s">
        <v>230</v>
      </c>
      <c r="C266" s="13">
        <f>0.45*2.8/3.2</f>
        <v>0.39375</v>
      </c>
    </row>
    <row r="267">
      <c r="B267" s="3" t="s">
        <v>231</v>
      </c>
      <c r="C267" s="13">
        <f>0.15*2.8/3.2</f>
        <v>0.13125</v>
      </c>
    </row>
    <row r="269">
      <c r="B269" s="22" t="s">
        <v>345</v>
      </c>
    </row>
    <row r="270">
      <c r="B270" s="3" t="s">
        <v>346</v>
      </c>
    </row>
    <row r="271">
      <c r="B271" s="3" t="s">
        <v>43</v>
      </c>
    </row>
    <row r="272">
      <c r="B272" s="3" t="s">
        <v>44</v>
      </c>
    </row>
    <row r="273">
      <c r="B273" s="3" t="s">
        <v>45</v>
      </c>
    </row>
    <row r="275">
      <c r="B275" s="4" t="s">
        <v>339</v>
      </c>
    </row>
    <row r="276">
      <c r="A276" s="4" t="s">
        <v>336</v>
      </c>
      <c r="B276" s="4">
        <v>57777.0</v>
      </c>
    </row>
    <row r="277">
      <c r="A277" s="4" t="s">
        <v>337</v>
      </c>
      <c r="B277" s="4">
        <v>15555.0</v>
      </c>
    </row>
    <row r="278">
      <c r="A278" s="4" t="s">
        <v>338</v>
      </c>
      <c r="B278" s="4">
        <v>42222.0</v>
      </c>
    </row>
    <row r="280">
      <c r="A280" s="4" t="s">
        <v>347</v>
      </c>
      <c r="B280" s="12">
        <f>0.12*B276</f>
        <v>6933.24</v>
      </c>
    </row>
    <row r="281">
      <c r="A281" s="4" t="s">
        <v>348</v>
      </c>
      <c r="B281" s="12">
        <f>0.883*B280</f>
        <v>6122.05092</v>
      </c>
    </row>
    <row r="282">
      <c r="A282" s="4" t="s">
        <v>349</v>
      </c>
      <c r="B282" s="12">
        <f>B280*0.117</f>
        <v>811.18908</v>
      </c>
    </row>
    <row r="284">
      <c r="A284" s="4" t="s">
        <v>350</v>
      </c>
      <c r="B284" s="12">
        <f>374/2</f>
        <v>187</v>
      </c>
      <c r="C284" s="4" t="s">
        <v>351</v>
      </c>
    </row>
    <row r="285">
      <c r="A285" s="4" t="s">
        <v>352</v>
      </c>
      <c r="B285" s="12">
        <f>B278-B280-B284</f>
        <v>35101.76</v>
      </c>
    </row>
    <row r="287">
      <c r="A287" s="4" t="s">
        <v>353</v>
      </c>
      <c r="B287" s="12">
        <f>B285+B282</f>
        <v>35912.94908</v>
      </c>
    </row>
    <row r="288">
      <c r="A288" s="4" t="s">
        <v>354</v>
      </c>
      <c r="B288" s="12">
        <f>B277+B281</f>
        <v>21677.05092</v>
      </c>
    </row>
    <row r="289">
      <c r="A289" s="4" t="s">
        <v>355</v>
      </c>
      <c r="B289" s="12">
        <f>B284</f>
        <v>187</v>
      </c>
    </row>
    <row r="290">
      <c r="A290" s="4" t="s">
        <v>356</v>
      </c>
      <c r="B290" s="12">
        <f>SUM(B287:B289)</f>
        <v>57777</v>
      </c>
    </row>
    <row r="292">
      <c r="A292" s="4" t="s">
        <v>357</v>
      </c>
    </row>
  </sheetData>
  <mergeCells count="3">
    <mergeCell ref="A36:C36"/>
    <mergeCell ref="A37:C37"/>
    <mergeCell ref="A38:F38"/>
  </mergeCells>
  <hyperlinks>
    <hyperlink r:id="rId1" ref="A6"/>
    <hyperlink r:id="rId2" ref="A30"/>
    <hyperlink r:id="rId3" ref="C32"/>
    <hyperlink r:id="rId4" ref="C33"/>
    <hyperlink r:id="rId5" ref="A37"/>
    <hyperlink r:id="rId6" ref="G70"/>
    <hyperlink r:id="rId7" ref="A163"/>
    <hyperlink r:id="rId8" ref="C172"/>
    <hyperlink r:id="rId9" ref="B173"/>
    <hyperlink r:id="rId10" ref="B174"/>
    <hyperlink r:id="rId11" ref="B175"/>
    <hyperlink r:id="rId12" ref="B177"/>
    <hyperlink r:id="rId13" ref="B245"/>
    <hyperlink r:id="rId14" ref="B256"/>
    <hyperlink r:id="rId15" ref="B258"/>
  </hyperlinks>
  <drawing r:id="rId16"/>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1" max="1" width="23.88"/>
    <col customWidth="1" min="2" max="2" width="32.63"/>
    <col customWidth="1" min="3" max="3" width="30.5"/>
    <col customWidth="1" min="4" max="5" width="16.63"/>
  </cols>
  <sheetData>
    <row r="1">
      <c r="A1" s="1" t="s">
        <v>0</v>
      </c>
      <c r="B1" s="47"/>
      <c r="C1" s="47"/>
    </row>
    <row r="2">
      <c r="A2" s="2" t="s">
        <v>1</v>
      </c>
      <c r="B2" s="47"/>
      <c r="C2" s="47"/>
    </row>
    <row r="3">
      <c r="A3" s="3" t="s">
        <v>2</v>
      </c>
      <c r="B3" s="47"/>
      <c r="C3" s="47"/>
    </row>
    <row r="4">
      <c r="A4" s="48" t="s">
        <v>358</v>
      </c>
      <c r="B4" s="4" t="s">
        <v>359</v>
      </c>
      <c r="C4" s="49" t="s">
        <v>360</v>
      </c>
    </row>
    <row r="5">
      <c r="A5" s="48" t="s">
        <v>361</v>
      </c>
      <c r="B5" s="47"/>
      <c r="C5" s="47"/>
    </row>
    <row r="6">
      <c r="A6" s="48" t="s">
        <v>362</v>
      </c>
      <c r="B6" s="47"/>
      <c r="C6" s="47"/>
    </row>
    <row r="7">
      <c r="A7" s="48" t="s">
        <v>363</v>
      </c>
      <c r="B7" s="47"/>
      <c r="C7" s="47"/>
    </row>
    <row r="8">
      <c r="A8" s="48"/>
      <c r="B8" s="47"/>
      <c r="C8" s="47"/>
    </row>
    <row r="9">
      <c r="A9" s="50" t="s">
        <v>270</v>
      </c>
      <c r="B9" s="51"/>
      <c r="C9" s="51"/>
      <c r="D9" s="52"/>
      <c r="E9" s="52"/>
      <c r="F9" s="52"/>
      <c r="G9" s="52"/>
      <c r="H9" s="52"/>
      <c r="I9" s="52"/>
      <c r="J9" s="52"/>
      <c r="K9" s="52"/>
      <c r="L9" s="52"/>
      <c r="M9" s="52"/>
      <c r="N9" s="52"/>
      <c r="O9" s="52"/>
      <c r="P9" s="52"/>
      <c r="Q9" s="52"/>
      <c r="R9" s="52"/>
      <c r="S9" s="52"/>
      <c r="T9" s="52"/>
      <c r="U9" s="52"/>
      <c r="V9" s="52"/>
      <c r="W9" s="52"/>
      <c r="X9" s="52"/>
      <c r="Y9" s="52"/>
      <c r="Z9" s="52"/>
    </row>
    <row r="10">
      <c r="A10" s="47"/>
      <c r="B10" s="48" t="s">
        <v>364</v>
      </c>
      <c r="C10" s="48" t="s">
        <v>365</v>
      </c>
      <c r="D10" s="4" t="s">
        <v>366</v>
      </c>
      <c r="E10" s="4" t="s">
        <v>367</v>
      </c>
    </row>
    <row r="11">
      <c r="A11" s="48" t="s">
        <v>272</v>
      </c>
      <c r="B11" s="53">
        <v>131.6093672</v>
      </c>
      <c r="C11" s="53">
        <v>261.8576824</v>
      </c>
      <c r="D11" s="13">
        <f t="shared" ref="D11:E11" si="1">B11*1000</f>
        <v>131609.3672</v>
      </c>
      <c r="E11" s="13">
        <f t="shared" si="1"/>
        <v>261857.6824</v>
      </c>
    </row>
    <row r="12">
      <c r="A12" s="48" t="s">
        <v>368</v>
      </c>
      <c r="B12" s="53">
        <v>9.05955305</v>
      </c>
      <c r="C12" s="53">
        <v>10.06702027</v>
      </c>
      <c r="D12" s="13">
        <f t="shared" ref="D12:E12" si="2">B12*1000</f>
        <v>9059.55305</v>
      </c>
      <c r="E12" s="13">
        <f t="shared" si="2"/>
        <v>10067.02027</v>
      </c>
    </row>
    <row r="13">
      <c r="A13" s="48" t="s">
        <v>274</v>
      </c>
      <c r="B13" s="53">
        <v>3.220705444</v>
      </c>
      <c r="C13" s="53">
        <v>1.002672631</v>
      </c>
      <c r="D13" s="13">
        <f t="shared" ref="D13:E13" si="3">B13*1000</f>
        <v>3220.705444</v>
      </c>
      <c r="E13" s="13">
        <f t="shared" si="3"/>
        <v>1002.672631</v>
      </c>
    </row>
    <row r="14">
      <c r="A14" s="48" t="s">
        <v>369</v>
      </c>
      <c r="B14" s="53">
        <v>0.012337607</v>
      </c>
      <c r="C14" s="53">
        <v>0.002054247</v>
      </c>
      <c r="D14" s="13">
        <f t="shared" ref="D14:E14" si="4">B14*1000</f>
        <v>12.337607</v>
      </c>
      <c r="E14" s="13">
        <f t="shared" si="4"/>
        <v>2.054247</v>
      </c>
    </row>
    <row r="15">
      <c r="A15" s="48" t="s">
        <v>275</v>
      </c>
      <c r="B15" s="53">
        <v>1.200393222</v>
      </c>
      <c r="C15" s="53">
        <v>0.261519959</v>
      </c>
      <c r="D15" s="13">
        <f t="shared" ref="D15:E15" si="5">B15*1000</f>
        <v>1200.393222</v>
      </c>
      <c r="E15" s="13">
        <f t="shared" si="5"/>
        <v>261.519959</v>
      </c>
    </row>
    <row r="16">
      <c r="A16" s="48" t="s">
        <v>370</v>
      </c>
      <c r="B16" s="53">
        <v>0.00294181</v>
      </c>
      <c r="C16" s="53">
        <v>0.004663656</v>
      </c>
      <c r="D16" s="13">
        <f t="shared" ref="D16:E16" si="6">B16*1000</f>
        <v>2.94181</v>
      </c>
      <c r="E16" s="13">
        <f t="shared" si="6"/>
        <v>4.663656</v>
      </c>
    </row>
    <row r="17">
      <c r="A17" s="48" t="s">
        <v>371</v>
      </c>
      <c r="B17" s="53">
        <v>394.3028319</v>
      </c>
      <c r="C17" s="53">
        <v>0.0</v>
      </c>
      <c r="D17" s="13">
        <f t="shared" ref="D17:E17" si="7">B17*1000</f>
        <v>394302.8319</v>
      </c>
      <c r="E17" s="13">
        <f t="shared" si="7"/>
        <v>0</v>
      </c>
    </row>
    <row r="18">
      <c r="A18" s="48" t="s">
        <v>276</v>
      </c>
      <c r="B18" s="53">
        <v>2.368905178</v>
      </c>
      <c r="C18" s="53">
        <v>3.001808243</v>
      </c>
      <c r="D18" s="13">
        <f t="shared" ref="D18:E18" si="8">B18*1000</f>
        <v>2368.905178</v>
      </c>
      <c r="E18" s="13">
        <f t="shared" si="8"/>
        <v>3001.808243</v>
      </c>
    </row>
    <row r="19">
      <c r="A19" s="48" t="s">
        <v>372</v>
      </c>
      <c r="B19" s="53">
        <v>0.042552442</v>
      </c>
      <c r="C19" s="53">
        <v>0.157518463</v>
      </c>
      <c r="D19" s="13">
        <f t="shared" ref="D19:E19" si="9">B19*1000</f>
        <v>42.552442</v>
      </c>
      <c r="E19" s="13">
        <f t="shared" si="9"/>
        <v>157.518463</v>
      </c>
    </row>
    <row r="20">
      <c r="A20" s="50" t="s">
        <v>373</v>
      </c>
      <c r="B20" s="54">
        <v>5.3282E-5</v>
      </c>
      <c r="C20" s="54">
        <v>5.5784E-5</v>
      </c>
      <c r="D20" s="52">
        <f t="shared" ref="D20:E20" si="10">B20*1000</f>
        <v>0.053282</v>
      </c>
      <c r="E20" s="52">
        <f t="shared" si="10"/>
        <v>0.055784</v>
      </c>
      <c r="F20" s="52"/>
      <c r="G20" s="52"/>
      <c r="H20" s="52"/>
      <c r="I20" s="52"/>
      <c r="J20" s="52"/>
      <c r="K20" s="52"/>
      <c r="L20" s="52"/>
      <c r="M20" s="52"/>
      <c r="N20" s="52"/>
      <c r="O20" s="52"/>
      <c r="P20" s="52"/>
      <c r="Q20" s="52"/>
      <c r="R20" s="52"/>
      <c r="S20" s="52"/>
      <c r="T20" s="52"/>
      <c r="U20" s="52"/>
      <c r="V20" s="52"/>
      <c r="W20" s="52"/>
      <c r="X20" s="52"/>
      <c r="Y20" s="52"/>
      <c r="Z20" s="52"/>
    </row>
    <row r="21">
      <c r="A21" s="48" t="s">
        <v>277</v>
      </c>
      <c r="B21" s="53">
        <v>0.004600563</v>
      </c>
      <c r="C21" s="53">
        <v>0.006393806</v>
      </c>
      <c r="D21" s="13">
        <f t="shared" ref="D21:E21" si="11">B21*1000</f>
        <v>4.600563</v>
      </c>
      <c r="E21" s="13">
        <f t="shared" si="11"/>
        <v>6.393806</v>
      </c>
    </row>
    <row r="22">
      <c r="A22" s="50" t="s">
        <v>279</v>
      </c>
      <c r="B22" s="54">
        <v>5.2673E-5</v>
      </c>
      <c r="C22" s="54">
        <v>0.0</v>
      </c>
      <c r="D22" s="52">
        <f t="shared" ref="D22:E22" si="12">B22*1000</f>
        <v>0.052673</v>
      </c>
      <c r="E22" s="52">
        <f t="shared" si="12"/>
        <v>0</v>
      </c>
      <c r="F22" s="52"/>
      <c r="G22" s="52"/>
      <c r="H22" s="52"/>
      <c r="I22" s="52"/>
      <c r="J22" s="52"/>
      <c r="K22" s="52"/>
      <c r="L22" s="52"/>
      <c r="M22" s="52"/>
      <c r="N22" s="52"/>
      <c r="O22" s="52"/>
      <c r="P22" s="52"/>
      <c r="Q22" s="52"/>
      <c r="R22" s="52"/>
      <c r="S22" s="52"/>
      <c r="T22" s="52"/>
      <c r="U22" s="52"/>
      <c r="V22" s="52"/>
      <c r="W22" s="52"/>
      <c r="X22" s="52"/>
      <c r="Y22" s="52"/>
      <c r="Z22" s="52"/>
    </row>
    <row r="23">
      <c r="A23" s="50" t="s">
        <v>374</v>
      </c>
      <c r="B23" s="54">
        <v>9.08402E-4</v>
      </c>
      <c r="C23" s="54">
        <v>0.001265738</v>
      </c>
      <c r="D23" s="52">
        <f t="shared" ref="D23:E23" si="13">B23*1000</f>
        <v>0.908402</v>
      </c>
      <c r="E23" s="52">
        <f t="shared" si="13"/>
        <v>1.265738</v>
      </c>
      <c r="F23" s="52"/>
      <c r="G23" s="52"/>
      <c r="H23" s="52"/>
      <c r="I23" s="52"/>
      <c r="J23" s="52"/>
      <c r="K23" s="52"/>
      <c r="L23" s="52"/>
      <c r="M23" s="52"/>
      <c r="N23" s="52"/>
      <c r="O23" s="52"/>
      <c r="P23" s="52"/>
      <c r="Q23" s="52"/>
      <c r="R23" s="52"/>
      <c r="S23" s="52"/>
      <c r="T23" s="52"/>
      <c r="U23" s="52"/>
      <c r="V23" s="52"/>
      <c r="W23" s="52"/>
      <c r="X23" s="52"/>
      <c r="Y23" s="52"/>
      <c r="Z23" s="52"/>
    </row>
    <row r="24">
      <c r="A24" s="48" t="s">
        <v>280</v>
      </c>
      <c r="B24" s="53">
        <v>2.366327638</v>
      </c>
      <c r="C24" s="53">
        <v>4.900743114</v>
      </c>
      <c r="D24" s="13">
        <f t="shared" ref="D24:E24" si="14">B24*1000</f>
        <v>2366.327638</v>
      </c>
      <c r="E24" s="13">
        <f t="shared" si="14"/>
        <v>4900.743114</v>
      </c>
    </row>
    <row r="25">
      <c r="A25" s="48" t="s">
        <v>282</v>
      </c>
      <c r="B25" s="53">
        <v>2.521298507</v>
      </c>
      <c r="C25" s="53">
        <v>3.747262129</v>
      </c>
      <c r="D25" s="13">
        <f t="shared" ref="D25:E25" si="15">B25*1000</f>
        <v>2521.298507</v>
      </c>
      <c r="E25" s="13">
        <f t="shared" si="15"/>
        <v>3747.262129</v>
      </c>
    </row>
    <row r="26">
      <c r="A26" s="50" t="s">
        <v>285</v>
      </c>
      <c r="B26" s="54">
        <v>1.94077E-4</v>
      </c>
      <c r="C26" s="54">
        <v>5.43797E-4</v>
      </c>
      <c r="D26" s="52">
        <f t="shared" ref="D26:E26" si="16">B26*1000</f>
        <v>0.194077</v>
      </c>
      <c r="E26" s="52">
        <f t="shared" si="16"/>
        <v>0.543797</v>
      </c>
      <c r="F26" s="52"/>
      <c r="G26" s="52"/>
      <c r="H26" s="52"/>
      <c r="I26" s="52"/>
      <c r="J26" s="52"/>
      <c r="K26" s="52"/>
      <c r="L26" s="52"/>
      <c r="M26" s="52"/>
      <c r="N26" s="52"/>
      <c r="O26" s="52"/>
      <c r="P26" s="52"/>
      <c r="Q26" s="52"/>
      <c r="R26" s="52"/>
      <c r="S26" s="52"/>
      <c r="T26" s="52"/>
      <c r="U26" s="52"/>
      <c r="V26" s="52"/>
      <c r="W26" s="52"/>
      <c r="X26" s="52"/>
      <c r="Y26" s="52"/>
      <c r="Z26" s="52"/>
    </row>
    <row r="27">
      <c r="A27" s="48" t="s">
        <v>375</v>
      </c>
      <c r="B27" s="53">
        <v>0.060653695</v>
      </c>
      <c r="C27" s="53">
        <v>0.124872948</v>
      </c>
      <c r="D27" s="13">
        <f t="shared" ref="D27:E27" si="17">B27*1000</f>
        <v>60.653695</v>
      </c>
      <c r="E27" s="13">
        <f t="shared" si="17"/>
        <v>124.872948</v>
      </c>
    </row>
    <row r="28">
      <c r="A28" s="50" t="s">
        <v>376</v>
      </c>
      <c r="B28" s="54">
        <v>1.83E-7</v>
      </c>
      <c r="C28" s="54">
        <v>2.36E-7</v>
      </c>
      <c r="D28" s="52">
        <f t="shared" ref="D28:E28" si="18">B28*1000</f>
        <v>0.000183</v>
      </c>
      <c r="E28" s="52">
        <f t="shared" si="18"/>
        <v>0.000236</v>
      </c>
      <c r="F28" s="52"/>
      <c r="G28" s="52"/>
      <c r="H28" s="52"/>
      <c r="I28" s="52"/>
      <c r="J28" s="52"/>
      <c r="K28" s="52"/>
      <c r="L28" s="52"/>
      <c r="M28" s="52"/>
      <c r="N28" s="52"/>
      <c r="O28" s="52"/>
      <c r="P28" s="52"/>
      <c r="Q28" s="52"/>
      <c r="R28" s="52"/>
      <c r="S28" s="52"/>
      <c r="T28" s="52"/>
      <c r="U28" s="52"/>
      <c r="V28" s="52"/>
      <c r="W28" s="52"/>
      <c r="X28" s="52"/>
      <c r="Y28" s="52"/>
      <c r="Z28" s="52"/>
    </row>
    <row r="29">
      <c r="A29" s="48" t="s">
        <v>377</v>
      </c>
      <c r="B29" s="53">
        <v>0.036927475</v>
      </c>
      <c r="C29" s="53">
        <v>0.052503691</v>
      </c>
      <c r="D29" s="13">
        <f t="shared" ref="D29:E29" si="19">B29*1000</f>
        <v>36.927475</v>
      </c>
      <c r="E29" s="13">
        <f t="shared" si="19"/>
        <v>52.503691</v>
      </c>
    </row>
  </sheetData>
  <hyperlinks>
    <hyperlink r:id="rId1" ref="C4"/>
  </hyperlinks>
  <drawing r:id="rId2"/>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1" max="1" width="28.13"/>
    <col customWidth="1" min="2" max="2" width="21.5"/>
    <col customWidth="1" min="3" max="3" width="28.5"/>
    <col customWidth="1" min="4" max="4" width="57.75"/>
  </cols>
  <sheetData>
    <row r="1">
      <c r="A1" s="1" t="s">
        <v>0</v>
      </c>
      <c r="B1" s="47"/>
      <c r="C1" s="47"/>
    </row>
    <row r="2">
      <c r="A2" s="2" t="s">
        <v>1</v>
      </c>
      <c r="B2" s="47"/>
      <c r="C2" s="47"/>
    </row>
    <row r="3">
      <c r="A3" s="3" t="s">
        <v>2</v>
      </c>
      <c r="B3" s="47"/>
      <c r="C3" s="47"/>
    </row>
    <row r="4">
      <c r="A4" s="48" t="s">
        <v>358</v>
      </c>
      <c r="B4" s="4" t="s">
        <v>359</v>
      </c>
      <c r="C4" s="49" t="s">
        <v>360</v>
      </c>
    </row>
    <row r="5">
      <c r="A5" s="48" t="s">
        <v>378</v>
      </c>
      <c r="B5" s="47"/>
      <c r="C5" s="47"/>
    </row>
    <row r="6">
      <c r="A6" s="48" t="s">
        <v>379</v>
      </c>
      <c r="B6" s="48"/>
      <c r="C6" s="48"/>
      <c r="D6" s="48"/>
      <c r="E6" s="48"/>
      <c r="F6" s="47"/>
    </row>
    <row r="7">
      <c r="A7" s="48"/>
      <c r="B7" s="48"/>
      <c r="C7" s="48"/>
      <c r="D7" s="48"/>
      <c r="E7" s="48"/>
      <c r="F7" s="47"/>
    </row>
    <row r="8">
      <c r="A8" s="50" t="s">
        <v>270</v>
      </c>
      <c r="B8" s="50"/>
      <c r="C8" s="50"/>
      <c r="D8" s="50"/>
      <c r="E8" s="50"/>
      <c r="F8" s="51"/>
      <c r="G8" s="52"/>
      <c r="H8" s="52"/>
      <c r="I8" s="52"/>
      <c r="J8" s="52"/>
      <c r="K8" s="52"/>
      <c r="L8" s="52"/>
      <c r="M8" s="52"/>
      <c r="N8" s="52"/>
      <c r="O8" s="52"/>
      <c r="P8" s="52"/>
      <c r="Q8" s="52"/>
      <c r="R8" s="52"/>
      <c r="S8" s="52"/>
      <c r="T8" s="52"/>
      <c r="U8" s="52"/>
      <c r="V8" s="52"/>
      <c r="W8" s="52"/>
      <c r="X8" s="52"/>
      <c r="Y8" s="52"/>
      <c r="Z8" s="52"/>
      <c r="AA8" s="52"/>
    </row>
    <row r="9">
      <c r="A9" s="47"/>
      <c r="B9" s="48" t="s">
        <v>380</v>
      </c>
      <c r="C9" s="48" t="s">
        <v>381</v>
      </c>
      <c r="D9" s="48" t="s">
        <v>382</v>
      </c>
      <c r="E9" s="48"/>
      <c r="F9" s="47"/>
    </row>
    <row r="10">
      <c r="A10" s="48" t="s">
        <v>272</v>
      </c>
      <c r="B10" s="53">
        <v>51.70109502</v>
      </c>
      <c r="C10" s="55">
        <f t="shared" ref="C10:C29" si="1">B10*1000</f>
        <v>51701.09502</v>
      </c>
      <c r="D10" s="56" t="s">
        <v>383</v>
      </c>
      <c r="E10" s="47"/>
    </row>
    <row r="11">
      <c r="A11" s="48" t="s">
        <v>368</v>
      </c>
      <c r="B11" s="53">
        <v>0.043861553</v>
      </c>
      <c r="C11" s="55">
        <f t="shared" si="1"/>
        <v>43.861553</v>
      </c>
      <c r="D11" s="47"/>
      <c r="E11" s="47"/>
      <c r="F11" s="47"/>
    </row>
    <row r="12">
      <c r="A12" s="48" t="s">
        <v>274</v>
      </c>
      <c r="B12" s="53">
        <v>11.28301218</v>
      </c>
      <c r="C12" s="55">
        <f t="shared" si="1"/>
        <v>11283.01218</v>
      </c>
      <c r="D12" s="56" t="s">
        <v>384</v>
      </c>
      <c r="E12" s="47"/>
    </row>
    <row r="13">
      <c r="A13" s="50" t="s">
        <v>369</v>
      </c>
      <c r="B13" s="54">
        <v>0.001177497</v>
      </c>
      <c r="C13" s="57">
        <f t="shared" si="1"/>
        <v>1.177497</v>
      </c>
      <c r="D13" s="51"/>
      <c r="E13" s="51"/>
      <c r="F13" s="51"/>
      <c r="G13" s="52"/>
      <c r="H13" s="52"/>
      <c r="I13" s="52"/>
      <c r="J13" s="52"/>
      <c r="K13" s="52"/>
      <c r="L13" s="52"/>
      <c r="M13" s="52"/>
      <c r="N13" s="52"/>
      <c r="O13" s="52"/>
      <c r="P13" s="52"/>
      <c r="Q13" s="52"/>
      <c r="R13" s="52"/>
      <c r="S13" s="52"/>
      <c r="T13" s="52"/>
      <c r="U13" s="52"/>
      <c r="V13" s="52"/>
      <c r="W13" s="52"/>
      <c r="X13" s="52"/>
      <c r="Y13" s="52"/>
      <c r="Z13" s="52"/>
      <c r="AA13" s="52"/>
    </row>
    <row r="14">
      <c r="A14" s="48" t="s">
        <v>275</v>
      </c>
      <c r="B14" s="53">
        <v>0.152635477</v>
      </c>
      <c r="C14" s="55">
        <f t="shared" si="1"/>
        <v>152.635477</v>
      </c>
      <c r="D14" s="47"/>
      <c r="E14" s="47"/>
      <c r="F14" s="47"/>
    </row>
    <row r="15">
      <c r="A15" s="50" t="s">
        <v>370</v>
      </c>
      <c r="B15" s="54">
        <v>8.84483E-4</v>
      </c>
      <c r="C15" s="57">
        <f t="shared" si="1"/>
        <v>0.884483</v>
      </c>
      <c r="D15" s="51"/>
      <c r="E15" s="51"/>
      <c r="F15" s="51"/>
      <c r="G15" s="52"/>
      <c r="H15" s="52"/>
      <c r="I15" s="52"/>
      <c r="J15" s="52"/>
      <c r="K15" s="52"/>
      <c r="L15" s="52"/>
      <c r="M15" s="52"/>
      <c r="N15" s="52"/>
      <c r="O15" s="52"/>
      <c r="P15" s="52"/>
      <c r="Q15" s="52"/>
      <c r="R15" s="52"/>
      <c r="S15" s="52"/>
      <c r="T15" s="52"/>
      <c r="U15" s="52"/>
      <c r="V15" s="52"/>
      <c r="W15" s="52"/>
      <c r="X15" s="52"/>
      <c r="Y15" s="52"/>
      <c r="Z15" s="52"/>
      <c r="AA15" s="52"/>
    </row>
    <row r="16">
      <c r="A16" s="48" t="s">
        <v>273</v>
      </c>
      <c r="B16" s="53">
        <f>37.63214724/2</f>
        <v>18.81607362</v>
      </c>
      <c r="C16" s="55">
        <f t="shared" si="1"/>
        <v>18816.07362</v>
      </c>
      <c r="D16" s="56" t="s">
        <v>385</v>
      </c>
      <c r="E16" s="47"/>
      <c r="G16" s="48"/>
    </row>
    <row r="17">
      <c r="A17" s="48" t="s">
        <v>276</v>
      </c>
      <c r="B17" s="53">
        <v>2.84</v>
      </c>
      <c r="C17" s="55">
        <f t="shared" si="1"/>
        <v>2840</v>
      </c>
      <c r="D17" s="48" t="s">
        <v>386</v>
      </c>
    </row>
    <row r="18">
      <c r="A18" s="50" t="s">
        <v>387</v>
      </c>
      <c r="B18" s="54">
        <v>4.13515E-4</v>
      </c>
      <c r="C18" s="57">
        <f t="shared" si="1"/>
        <v>0.413515</v>
      </c>
      <c r="D18" s="51"/>
      <c r="E18" s="51"/>
      <c r="F18" s="51"/>
      <c r="G18" s="52"/>
      <c r="H18" s="52"/>
      <c r="I18" s="52"/>
      <c r="J18" s="52"/>
      <c r="K18" s="52"/>
      <c r="L18" s="52"/>
      <c r="M18" s="52"/>
      <c r="N18" s="52"/>
      <c r="O18" s="52"/>
      <c r="P18" s="52"/>
      <c r="Q18" s="52"/>
      <c r="R18" s="52"/>
      <c r="S18" s="52"/>
      <c r="T18" s="52"/>
      <c r="U18" s="52"/>
      <c r="V18" s="52"/>
      <c r="W18" s="52"/>
      <c r="X18" s="52"/>
      <c r="Y18" s="52"/>
      <c r="Z18" s="52"/>
      <c r="AA18" s="52"/>
    </row>
    <row r="19">
      <c r="A19" s="50" t="s">
        <v>373</v>
      </c>
      <c r="B19" s="54">
        <v>1.2166E-5</v>
      </c>
      <c r="C19" s="57">
        <f t="shared" si="1"/>
        <v>0.012166</v>
      </c>
      <c r="D19" s="51"/>
      <c r="E19" s="51"/>
      <c r="F19" s="51"/>
      <c r="G19" s="52"/>
      <c r="H19" s="52"/>
      <c r="I19" s="52"/>
      <c r="J19" s="52"/>
      <c r="K19" s="52"/>
      <c r="L19" s="52"/>
      <c r="M19" s="52"/>
      <c r="N19" s="52"/>
      <c r="O19" s="52"/>
      <c r="P19" s="52"/>
      <c r="Q19" s="52"/>
      <c r="R19" s="52"/>
      <c r="S19" s="52"/>
      <c r="T19" s="52"/>
      <c r="U19" s="52"/>
      <c r="V19" s="52"/>
      <c r="W19" s="52"/>
      <c r="X19" s="52"/>
      <c r="Y19" s="52"/>
      <c r="Z19" s="52"/>
      <c r="AA19" s="52"/>
    </row>
    <row r="20">
      <c r="A20" s="48" t="s">
        <v>388</v>
      </c>
      <c r="B20" s="53">
        <v>1.606628261</v>
      </c>
      <c r="C20" s="55">
        <f t="shared" si="1"/>
        <v>1606.628261</v>
      </c>
      <c r="D20" s="47"/>
      <c r="E20" s="47"/>
      <c r="F20" s="47"/>
    </row>
    <row r="21">
      <c r="A21" s="50" t="s">
        <v>389</v>
      </c>
      <c r="B21" s="54">
        <v>4.95E-7</v>
      </c>
      <c r="C21" s="57">
        <f t="shared" si="1"/>
        <v>0.000495</v>
      </c>
      <c r="D21" s="51"/>
      <c r="E21" s="51"/>
      <c r="F21" s="51"/>
      <c r="G21" s="52"/>
      <c r="H21" s="52"/>
      <c r="I21" s="52"/>
      <c r="J21" s="52"/>
      <c r="K21" s="52"/>
      <c r="L21" s="52"/>
      <c r="M21" s="52"/>
      <c r="N21" s="52"/>
      <c r="O21" s="52"/>
      <c r="P21" s="52"/>
      <c r="Q21" s="52"/>
      <c r="R21" s="52"/>
      <c r="S21" s="52"/>
      <c r="T21" s="52"/>
      <c r="U21" s="52"/>
      <c r="V21" s="52"/>
      <c r="W21" s="52"/>
      <c r="X21" s="52"/>
      <c r="Y21" s="52"/>
      <c r="Z21" s="52"/>
      <c r="AA21" s="52"/>
    </row>
    <row r="22">
      <c r="A22" s="48" t="s">
        <v>390</v>
      </c>
      <c r="B22" s="53">
        <v>0.005023673</v>
      </c>
      <c r="C22" s="55">
        <f t="shared" si="1"/>
        <v>5.023673</v>
      </c>
      <c r="D22" s="47"/>
      <c r="E22" s="47"/>
      <c r="F22" s="47"/>
    </row>
    <row r="23">
      <c r="A23" s="50" t="s">
        <v>374</v>
      </c>
      <c r="B23" s="54">
        <v>9.0807E-4</v>
      </c>
      <c r="C23" s="57">
        <f t="shared" si="1"/>
        <v>0.90807</v>
      </c>
      <c r="D23" s="51"/>
      <c r="E23" s="51"/>
      <c r="F23" s="51"/>
      <c r="G23" s="52"/>
      <c r="H23" s="52"/>
      <c r="I23" s="52"/>
      <c r="J23" s="52"/>
      <c r="K23" s="52"/>
      <c r="L23" s="52"/>
      <c r="M23" s="52"/>
      <c r="N23" s="52"/>
      <c r="O23" s="52"/>
      <c r="P23" s="52"/>
      <c r="Q23" s="52"/>
      <c r="R23" s="52"/>
      <c r="S23" s="52"/>
      <c r="T23" s="52"/>
      <c r="U23" s="52"/>
      <c r="V23" s="52"/>
      <c r="W23" s="52"/>
      <c r="X23" s="52"/>
      <c r="Y23" s="52"/>
      <c r="Z23" s="52"/>
      <c r="AA23" s="52"/>
    </row>
    <row r="24">
      <c r="A24" s="48" t="s">
        <v>391</v>
      </c>
      <c r="B24" s="53">
        <v>0.328534137</v>
      </c>
      <c r="C24" s="55">
        <f t="shared" si="1"/>
        <v>328.534137</v>
      </c>
      <c r="D24" s="47"/>
      <c r="E24" s="47"/>
      <c r="F24" s="47"/>
    </row>
    <row r="25">
      <c r="A25" s="48" t="s">
        <v>280</v>
      </c>
      <c r="B25" s="53">
        <v>1.025122135</v>
      </c>
      <c r="C25" s="55">
        <f t="shared" si="1"/>
        <v>1025.122135</v>
      </c>
      <c r="D25" s="47"/>
      <c r="E25" s="47"/>
      <c r="F25" s="47"/>
    </row>
    <row r="26">
      <c r="A26" s="48" t="s">
        <v>281</v>
      </c>
      <c r="B26" s="53">
        <v>0.002287667</v>
      </c>
      <c r="C26" s="55">
        <f t="shared" si="1"/>
        <v>2.287667</v>
      </c>
      <c r="D26" s="47"/>
      <c r="E26" s="47"/>
      <c r="F26" s="47"/>
    </row>
    <row r="27">
      <c r="A27" s="48" t="s">
        <v>282</v>
      </c>
      <c r="B27" s="53">
        <v>0.783556803</v>
      </c>
      <c r="C27" s="55">
        <f t="shared" si="1"/>
        <v>783.556803</v>
      </c>
      <c r="D27" s="47"/>
      <c r="E27" s="47"/>
      <c r="F27" s="47"/>
    </row>
    <row r="28">
      <c r="A28" s="50" t="s">
        <v>392</v>
      </c>
      <c r="B28" s="54">
        <v>8.3E-8</v>
      </c>
      <c r="C28" s="57">
        <f t="shared" si="1"/>
        <v>0.000083</v>
      </c>
      <c r="D28" s="51"/>
      <c r="E28" s="51"/>
      <c r="F28" s="51"/>
      <c r="G28" s="52"/>
      <c r="H28" s="52"/>
      <c r="I28" s="52"/>
      <c r="J28" s="52"/>
      <c r="K28" s="52"/>
      <c r="L28" s="52"/>
      <c r="M28" s="52"/>
      <c r="N28" s="52"/>
      <c r="O28" s="52"/>
      <c r="P28" s="52"/>
      <c r="Q28" s="52"/>
      <c r="R28" s="52"/>
      <c r="S28" s="52"/>
      <c r="T28" s="52"/>
      <c r="U28" s="52"/>
      <c r="V28" s="52"/>
      <c r="W28" s="52"/>
      <c r="X28" s="52"/>
      <c r="Y28" s="52"/>
      <c r="Z28" s="52"/>
      <c r="AA28" s="52"/>
    </row>
    <row r="29">
      <c r="A29" s="48" t="s">
        <v>393</v>
      </c>
      <c r="B29" s="53">
        <v>2.45</v>
      </c>
      <c r="C29" s="55">
        <f t="shared" si="1"/>
        <v>2450</v>
      </c>
      <c r="D29" s="48" t="s">
        <v>394</v>
      </c>
      <c r="E29" s="47"/>
      <c r="F29" s="47"/>
    </row>
    <row r="30">
      <c r="A30" s="48" t="s">
        <v>284</v>
      </c>
      <c r="B30" s="53">
        <v>0.01</v>
      </c>
      <c r="C30" s="55">
        <v>10.0</v>
      </c>
      <c r="D30" s="48" t="s">
        <v>395</v>
      </c>
      <c r="E30" s="47"/>
      <c r="F30" s="47"/>
    </row>
    <row r="31">
      <c r="A31" s="48" t="s">
        <v>396</v>
      </c>
      <c r="B31" s="53">
        <v>22.22</v>
      </c>
      <c r="C31" s="55">
        <f t="shared" ref="C31:C35" si="2">B31*1000</f>
        <v>22220</v>
      </c>
      <c r="D31" s="48" t="s">
        <v>397</v>
      </c>
      <c r="E31" s="47"/>
      <c r="F31" s="47"/>
    </row>
    <row r="32">
      <c r="A32" s="48" t="s">
        <v>285</v>
      </c>
      <c r="B32" s="53">
        <v>0.067609478</v>
      </c>
      <c r="C32" s="55">
        <f t="shared" si="2"/>
        <v>67.609478</v>
      </c>
      <c r="D32" s="47"/>
      <c r="E32" s="47"/>
      <c r="F32" s="47"/>
    </row>
    <row r="33">
      <c r="A33" s="48" t="s">
        <v>375</v>
      </c>
      <c r="B33" s="53">
        <v>0.024910548</v>
      </c>
      <c r="C33" s="55">
        <f t="shared" si="2"/>
        <v>24.910548</v>
      </c>
      <c r="D33" s="47"/>
      <c r="E33" s="47"/>
      <c r="F33" s="47"/>
    </row>
    <row r="34">
      <c r="A34" s="50" t="s">
        <v>376</v>
      </c>
      <c r="B34" s="54">
        <v>1.03E-7</v>
      </c>
      <c r="C34" s="57">
        <f t="shared" si="2"/>
        <v>0.000103</v>
      </c>
      <c r="D34" s="51"/>
      <c r="E34" s="51"/>
      <c r="F34" s="51"/>
      <c r="G34" s="52"/>
      <c r="H34" s="52"/>
      <c r="I34" s="52"/>
      <c r="J34" s="52"/>
      <c r="K34" s="52"/>
      <c r="L34" s="52"/>
      <c r="M34" s="52"/>
      <c r="N34" s="52"/>
      <c r="O34" s="52"/>
      <c r="P34" s="52"/>
      <c r="Q34" s="52"/>
      <c r="R34" s="52"/>
      <c r="S34" s="52"/>
      <c r="T34" s="52"/>
      <c r="U34" s="52"/>
      <c r="V34" s="52"/>
      <c r="W34" s="52"/>
      <c r="X34" s="52"/>
      <c r="Y34" s="52"/>
      <c r="Z34" s="52"/>
      <c r="AA34" s="52"/>
    </row>
    <row r="35">
      <c r="A35" s="48" t="s">
        <v>377</v>
      </c>
      <c r="B35" s="53">
        <v>1.388054266</v>
      </c>
      <c r="C35" s="55">
        <f t="shared" si="2"/>
        <v>1388.054266</v>
      </c>
      <c r="D35" s="47"/>
      <c r="E35" s="47"/>
      <c r="F35" s="47"/>
    </row>
    <row r="37">
      <c r="A37" s="4" t="s">
        <v>398</v>
      </c>
    </row>
    <row r="38">
      <c r="A38" s="4" t="s">
        <v>399</v>
      </c>
      <c r="B38" s="4" t="s">
        <v>400</v>
      </c>
      <c r="C38" s="42" t="s">
        <v>401</v>
      </c>
      <c r="D38" s="4" t="s">
        <v>402</v>
      </c>
    </row>
    <row r="39">
      <c r="A39" s="4" t="s">
        <v>403</v>
      </c>
      <c r="B39" s="4" t="s">
        <v>404</v>
      </c>
      <c r="C39" s="42" t="s">
        <v>405</v>
      </c>
      <c r="D39" s="11" t="s">
        <v>406</v>
      </c>
    </row>
    <row r="40">
      <c r="A40" s="4" t="s">
        <v>407</v>
      </c>
      <c r="B40" s="4" t="s">
        <v>408</v>
      </c>
      <c r="C40" s="42" t="s">
        <v>409</v>
      </c>
    </row>
    <row r="41">
      <c r="A41" s="4" t="s">
        <v>394</v>
      </c>
      <c r="B41" s="4" t="s">
        <v>410</v>
      </c>
      <c r="C41" s="42" t="s">
        <v>411</v>
      </c>
    </row>
    <row r="42">
      <c r="A42" s="4" t="s">
        <v>412</v>
      </c>
      <c r="B42" s="4" t="s">
        <v>413</v>
      </c>
      <c r="C42" s="42" t="s">
        <v>414</v>
      </c>
    </row>
  </sheetData>
  <hyperlinks>
    <hyperlink r:id="rId1" ref="C4"/>
    <hyperlink r:id="rId2" ref="C38"/>
    <hyperlink r:id="rId3" ref="C39"/>
    <hyperlink r:id="rId4" ref="C40"/>
    <hyperlink r:id="rId5" ref="C41"/>
    <hyperlink r:id="rId6" ref="C42"/>
  </hyperlinks>
  <drawing r:id="rId7"/>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7" max="7" width="19.5"/>
    <col customWidth="1" min="9" max="9" width="19.25"/>
    <col customWidth="1" min="10" max="10" width="19.63"/>
  </cols>
  <sheetData>
    <row r="1">
      <c r="A1" s="1" t="s">
        <v>0</v>
      </c>
      <c r="B1" s="47"/>
      <c r="C1" s="47"/>
    </row>
    <row r="2">
      <c r="A2" s="2" t="s">
        <v>1</v>
      </c>
      <c r="B2" s="47"/>
      <c r="C2" s="47"/>
    </row>
    <row r="3">
      <c r="A3" s="3" t="s">
        <v>2</v>
      </c>
      <c r="B3" s="47"/>
      <c r="C3" s="47"/>
    </row>
    <row r="4">
      <c r="A4" s="4" t="s">
        <v>415</v>
      </c>
    </row>
    <row r="5">
      <c r="A5" s="4" t="s">
        <v>416</v>
      </c>
    </row>
    <row r="6">
      <c r="A6" s="4"/>
    </row>
    <row r="7">
      <c r="A7" s="3" t="s">
        <v>417</v>
      </c>
      <c r="B7" s="13"/>
      <c r="C7" s="13"/>
      <c r="D7" s="13"/>
      <c r="E7" s="13"/>
      <c r="F7" s="13"/>
      <c r="G7" s="13"/>
      <c r="H7" s="13"/>
      <c r="I7" s="13"/>
      <c r="J7" s="13"/>
      <c r="K7" s="13"/>
      <c r="L7" s="13"/>
      <c r="M7" s="13"/>
      <c r="N7" s="13"/>
      <c r="O7" s="13"/>
      <c r="P7" s="13"/>
      <c r="Q7" s="13"/>
      <c r="R7" s="13"/>
      <c r="S7" s="13"/>
      <c r="T7" s="13"/>
      <c r="U7" s="13"/>
      <c r="V7" s="13"/>
      <c r="W7" s="13"/>
      <c r="X7" s="13"/>
      <c r="Y7" s="13"/>
      <c r="Z7" s="13"/>
      <c r="AA7" s="13"/>
    </row>
    <row r="8">
      <c r="A8" s="58" t="s">
        <v>418</v>
      </c>
      <c r="B8" s="13"/>
      <c r="C8" s="13"/>
      <c r="D8" s="13"/>
      <c r="E8" s="13"/>
      <c r="F8" s="13"/>
      <c r="G8" s="13"/>
      <c r="H8" s="13"/>
      <c r="I8" s="13"/>
      <c r="J8" s="13"/>
      <c r="K8" s="13"/>
      <c r="L8" s="13"/>
      <c r="M8" s="13"/>
      <c r="N8" s="13"/>
      <c r="O8" s="13"/>
      <c r="P8" s="13"/>
      <c r="Q8" s="13"/>
      <c r="R8" s="13"/>
      <c r="S8" s="13"/>
      <c r="T8" s="13"/>
      <c r="U8" s="13"/>
      <c r="V8" s="13"/>
      <c r="W8" s="13"/>
      <c r="X8" s="13"/>
      <c r="Y8" s="13"/>
      <c r="Z8" s="13"/>
      <c r="AA8" s="13"/>
    </row>
    <row r="9">
      <c r="A9" s="59"/>
    </row>
    <row r="10">
      <c r="A10" s="58" t="s">
        <v>419</v>
      </c>
      <c r="B10" s="13"/>
      <c r="C10" s="13"/>
      <c r="D10" s="13"/>
      <c r="E10" s="13"/>
      <c r="F10" s="13"/>
      <c r="G10" s="13"/>
      <c r="H10" s="13"/>
      <c r="I10" s="13"/>
      <c r="J10" s="13"/>
      <c r="K10" s="13"/>
      <c r="L10" s="13"/>
      <c r="M10" s="13"/>
      <c r="N10" s="13"/>
      <c r="O10" s="13"/>
      <c r="P10" s="13"/>
      <c r="Q10" s="13"/>
      <c r="R10" s="13"/>
      <c r="S10" s="13"/>
      <c r="T10" s="13"/>
      <c r="U10" s="13"/>
      <c r="V10" s="13"/>
      <c r="W10" s="13"/>
      <c r="X10" s="13"/>
      <c r="Y10" s="13"/>
      <c r="Z10" s="13"/>
      <c r="AA10" s="13"/>
    </row>
    <row r="11">
      <c r="A11" s="58">
        <f>2*365*25</f>
        <v>18250</v>
      </c>
      <c r="B11" s="13"/>
      <c r="C11" s="13"/>
      <c r="D11" s="13"/>
      <c r="E11" s="13"/>
      <c r="F11" s="13"/>
      <c r="G11" s="13"/>
      <c r="H11" s="13"/>
      <c r="I11" s="13"/>
      <c r="J11" s="13"/>
      <c r="K11" s="13"/>
      <c r="L11" s="13"/>
      <c r="M11" s="13"/>
      <c r="N11" s="13"/>
      <c r="O11" s="13"/>
      <c r="P11" s="13"/>
      <c r="Q11" s="13"/>
      <c r="R11" s="13"/>
      <c r="S11" s="13"/>
      <c r="T11" s="13"/>
      <c r="U11" s="13"/>
      <c r="V11" s="13"/>
      <c r="W11" s="13"/>
      <c r="X11" s="13"/>
      <c r="Y11" s="13"/>
      <c r="Z11" s="13"/>
      <c r="AA11" s="13"/>
    </row>
    <row r="12">
      <c r="A12" s="59"/>
    </row>
    <row r="13">
      <c r="A13" s="40" t="s">
        <v>420</v>
      </c>
    </row>
    <row r="14">
      <c r="A14" s="4" t="s">
        <v>421</v>
      </c>
      <c r="I14" s="11" t="s">
        <v>422</v>
      </c>
      <c r="J14" s="60" t="s">
        <v>423</v>
      </c>
    </row>
    <row r="15">
      <c r="A15" s="4" t="s">
        <v>424</v>
      </c>
      <c r="I15" s="12">
        <f>3000000/60</f>
        <v>50000</v>
      </c>
      <c r="J15" s="23">
        <f>I15/0.875</f>
        <v>57142.85714</v>
      </c>
    </row>
    <row r="16">
      <c r="A16" s="4" t="s">
        <v>425</v>
      </c>
      <c r="J16" s="23"/>
    </row>
    <row r="17">
      <c r="A17" s="4" t="s">
        <v>426</v>
      </c>
      <c r="J17" s="23"/>
    </row>
    <row r="18">
      <c r="A18" s="4" t="s">
        <v>427</v>
      </c>
      <c r="J18" s="23"/>
    </row>
    <row r="19">
      <c r="A19" s="40" t="s">
        <v>428</v>
      </c>
      <c r="J19" s="23"/>
    </row>
    <row r="20">
      <c r="A20" s="4" t="s">
        <v>429</v>
      </c>
      <c r="J20" s="23"/>
    </row>
    <row r="21">
      <c r="A21" s="4" t="s">
        <v>430</v>
      </c>
      <c r="I21" s="12">
        <f>1000000/60</f>
        <v>16666.66667</v>
      </c>
      <c r="J21" s="23">
        <f>I21/0.679</f>
        <v>24545.90083</v>
      </c>
    </row>
    <row r="22">
      <c r="A22" s="4" t="s">
        <v>431</v>
      </c>
      <c r="J22" s="23"/>
    </row>
    <row r="23">
      <c r="A23" s="4" t="s">
        <v>432</v>
      </c>
      <c r="J23" s="23"/>
    </row>
    <row r="24">
      <c r="A24" s="4"/>
      <c r="J24" s="23"/>
    </row>
    <row r="25">
      <c r="A25" s="42" t="s">
        <v>433</v>
      </c>
      <c r="J25" s="23"/>
    </row>
    <row r="26">
      <c r="A26" s="4" t="s">
        <v>434</v>
      </c>
      <c r="J26" s="23"/>
    </row>
    <row r="27">
      <c r="A27" s="4" t="s">
        <v>435</v>
      </c>
      <c r="I27" s="12">
        <f>260000/60</f>
        <v>4333.333333</v>
      </c>
      <c r="J27" s="23">
        <f>I27/0.162</f>
        <v>26748.97119</v>
      </c>
    </row>
    <row r="28">
      <c r="A28" s="4" t="s">
        <v>436</v>
      </c>
      <c r="J28" s="23"/>
    </row>
    <row r="29">
      <c r="A29" s="4" t="s">
        <v>437</v>
      </c>
      <c r="J29" s="23"/>
    </row>
    <row r="30">
      <c r="A30" s="4" t="s">
        <v>438</v>
      </c>
      <c r="J30" s="23"/>
    </row>
    <row r="31">
      <c r="A31" s="4" t="s">
        <v>439</v>
      </c>
      <c r="J31" s="23"/>
    </row>
    <row r="32">
      <c r="A32" s="42" t="s">
        <v>440</v>
      </c>
      <c r="J32" s="23"/>
    </row>
    <row r="33">
      <c r="A33" s="4" t="s">
        <v>441</v>
      </c>
      <c r="J33" s="23"/>
    </row>
    <row r="34">
      <c r="A34" s="4" t="s">
        <v>442</v>
      </c>
      <c r="I34" s="12">
        <f>860000/60</f>
        <v>14333.33333</v>
      </c>
      <c r="J34" s="23">
        <f>I34/0.285</f>
        <v>50292.39766</v>
      </c>
    </row>
    <row r="35">
      <c r="A35" s="4" t="s">
        <v>443</v>
      </c>
      <c r="I35" s="4" t="s">
        <v>444</v>
      </c>
      <c r="J35" s="23">
        <f>AVERAGE(J15,J21,J27,J34)</f>
        <v>39682.53171</v>
      </c>
    </row>
    <row r="36">
      <c r="A36" s="4" t="s">
        <v>445</v>
      </c>
    </row>
    <row r="37">
      <c r="A37" s="4"/>
    </row>
    <row r="38">
      <c r="A38" s="5" t="s">
        <v>446</v>
      </c>
      <c r="B38" s="6"/>
      <c r="C38" s="6"/>
      <c r="D38" s="6"/>
      <c r="E38" s="6"/>
      <c r="F38" s="6"/>
      <c r="G38" s="6"/>
      <c r="H38" s="6"/>
      <c r="I38" s="6"/>
      <c r="J38" s="6"/>
      <c r="K38" s="6"/>
      <c r="L38" s="6"/>
      <c r="M38" s="6"/>
      <c r="N38" s="6"/>
      <c r="O38" s="6"/>
      <c r="P38" s="6"/>
      <c r="Q38" s="6"/>
      <c r="R38" s="6"/>
      <c r="S38" s="6"/>
      <c r="T38" s="6"/>
      <c r="U38" s="6"/>
      <c r="V38" s="6"/>
      <c r="W38" s="6"/>
      <c r="X38" s="6"/>
      <c r="Y38" s="6"/>
      <c r="Z38" s="6"/>
      <c r="AA38" s="6"/>
    </row>
    <row r="39">
      <c r="A39" s="7" t="s">
        <v>447</v>
      </c>
      <c r="B39" s="6"/>
      <c r="C39" s="6"/>
      <c r="D39" s="6"/>
      <c r="E39" s="6"/>
      <c r="F39" s="6"/>
      <c r="G39" s="6"/>
      <c r="H39" s="6"/>
      <c r="I39" s="6"/>
      <c r="J39" s="6"/>
      <c r="K39" s="6"/>
      <c r="L39" s="6"/>
      <c r="M39" s="6"/>
      <c r="N39" s="6"/>
      <c r="O39" s="6"/>
      <c r="P39" s="6"/>
      <c r="Q39" s="6"/>
      <c r="R39" s="6"/>
      <c r="S39" s="6"/>
      <c r="T39" s="6"/>
      <c r="U39" s="6"/>
      <c r="V39" s="6"/>
      <c r="W39" s="6"/>
      <c r="X39" s="6"/>
      <c r="Y39" s="6"/>
      <c r="Z39" s="6"/>
      <c r="AA39" s="6"/>
    </row>
    <row r="40">
      <c r="A40" s="4" t="s">
        <v>448</v>
      </c>
    </row>
    <row r="41">
      <c r="A41" s="4" t="s">
        <v>449</v>
      </c>
      <c r="B41" s="4" t="s">
        <v>450</v>
      </c>
      <c r="C41" s="4" t="s">
        <v>451</v>
      </c>
      <c r="D41" s="4" t="s">
        <v>452</v>
      </c>
      <c r="E41" s="4" t="s">
        <v>453</v>
      </c>
      <c r="F41" s="4" t="s">
        <v>454</v>
      </c>
      <c r="G41" s="4" t="s">
        <v>455</v>
      </c>
      <c r="H41" s="4" t="s">
        <v>450</v>
      </c>
      <c r="I41" s="4" t="s">
        <v>451</v>
      </c>
      <c r="J41" s="4" t="s">
        <v>452</v>
      </c>
      <c r="K41" s="4" t="s">
        <v>453</v>
      </c>
      <c r="L41" s="4" t="s">
        <v>454</v>
      </c>
    </row>
    <row r="42">
      <c r="A42" s="4" t="s">
        <v>456</v>
      </c>
      <c r="B42" s="4">
        <v>7.0</v>
      </c>
      <c r="C42" s="4">
        <v>6.0</v>
      </c>
      <c r="D42" s="4">
        <v>5.0</v>
      </c>
      <c r="E42" s="4">
        <v>6.0</v>
      </c>
      <c r="F42" s="4">
        <v>6.0</v>
      </c>
      <c r="G42" s="4" t="s">
        <v>456</v>
      </c>
      <c r="H42" s="12">
        <f t="shared" ref="H42:L42" si="1">B42/60</f>
        <v>0.1166666667</v>
      </c>
      <c r="I42" s="12">
        <f t="shared" si="1"/>
        <v>0.1</v>
      </c>
      <c r="J42" s="12">
        <f t="shared" si="1"/>
        <v>0.08333333333</v>
      </c>
      <c r="K42" s="12">
        <f t="shared" si="1"/>
        <v>0.1</v>
      </c>
      <c r="L42" s="12">
        <f t="shared" si="1"/>
        <v>0.1</v>
      </c>
    </row>
    <row r="43">
      <c r="A43" s="4" t="s">
        <v>457</v>
      </c>
      <c r="B43" s="4">
        <v>11.0</v>
      </c>
      <c r="C43" s="4">
        <v>11.0</v>
      </c>
      <c r="D43" s="4">
        <v>5.0</v>
      </c>
      <c r="E43" s="4">
        <v>2.0</v>
      </c>
      <c r="F43" s="4">
        <v>0.0</v>
      </c>
      <c r="G43" s="4" t="s">
        <v>457</v>
      </c>
      <c r="H43" s="12">
        <f t="shared" ref="H43:L43" si="2">B43/60</f>
        <v>0.1833333333</v>
      </c>
      <c r="I43" s="12">
        <f t="shared" si="2"/>
        <v>0.1833333333</v>
      </c>
      <c r="J43" s="12">
        <f t="shared" si="2"/>
        <v>0.08333333333</v>
      </c>
      <c r="K43" s="12">
        <f t="shared" si="2"/>
        <v>0.03333333333</v>
      </c>
      <c r="L43" s="12">
        <f t="shared" si="2"/>
        <v>0</v>
      </c>
    </row>
    <row r="44">
      <c r="A44" s="4" t="s">
        <v>199</v>
      </c>
      <c r="B44" s="4">
        <v>28.0</v>
      </c>
      <c r="C44" s="4">
        <v>32.0</v>
      </c>
      <c r="D44" s="4">
        <v>39.0</v>
      </c>
      <c r="E44" s="4">
        <v>43.0</v>
      </c>
      <c r="F44" s="4">
        <v>0.0</v>
      </c>
      <c r="G44" s="4" t="s">
        <v>199</v>
      </c>
      <c r="H44" s="12">
        <f t="shared" ref="H44:L44" si="3">B44/60</f>
        <v>0.4666666667</v>
      </c>
      <c r="I44" s="12">
        <f t="shared" si="3"/>
        <v>0.5333333333</v>
      </c>
      <c r="J44" s="12">
        <f t="shared" si="3"/>
        <v>0.65</v>
      </c>
      <c r="K44" s="12">
        <f t="shared" si="3"/>
        <v>0.7166666667</v>
      </c>
      <c r="L44" s="12">
        <f t="shared" si="3"/>
        <v>0</v>
      </c>
    </row>
    <row r="45">
      <c r="A45" s="4" t="s">
        <v>201</v>
      </c>
      <c r="B45" s="4">
        <v>16.0</v>
      </c>
      <c r="C45" s="4">
        <v>10.0</v>
      </c>
      <c r="D45" s="4">
        <v>5.0</v>
      </c>
      <c r="E45" s="4">
        <v>0.0</v>
      </c>
      <c r="F45" s="4">
        <v>0.0</v>
      </c>
      <c r="G45" s="4" t="s">
        <v>201</v>
      </c>
      <c r="H45" s="12">
        <f t="shared" ref="H45:L45" si="4">B45/60</f>
        <v>0.2666666667</v>
      </c>
      <c r="I45" s="12">
        <f t="shared" si="4"/>
        <v>0.1666666667</v>
      </c>
      <c r="J45" s="12">
        <f t="shared" si="4"/>
        <v>0.08333333333</v>
      </c>
      <c r="K45" s="12">
        <f t="shared" si="4"/>
        <v>0</v>
      </c>
      <c r="L45" s="12">
        <f t="shared" si="4"/>
        <v>0</v>
      </c>
    </row>
    <row r="46">
      <c r="A46" s="4" t="s">
        <v>458</v>
      </c>
      <c r="B46" s="4">
        <v>53.0</v>
      </c>
      <c r="C46" s="4">
        <v>50.0</v>
      </c>
      <c r="D46" s="4">
        <v>45.0</v>
      </c>
      <c r="E46" s="4">
        <v>44.0</v>
      </c>
      <c r="F46" s="4">
        <v>66.0</v>
      </c>
      <c r="G46" s="4" t="s">
        <v>458</v>
      </c>
      <c r="H46" s="12">
        <f t="shared" ref="H46:L46" si="5">B46/60</f>
        <v>0.8833333333</v>
      </c>
      <c r="I46" s="12">
        <f t="shared" si="5"/>
        <v>0.8333333333</v>
      </c>
      <c r="J46" s="12">
        <f t="shared" si="5"/>
        <v>0.75</v>
      </c>
      <c r="K46" s="12">
        <f t="shared" si="5"/>
        <v>0.7333333333</v>
      </c>
      <c r="L46" s="12">
        <f t="shared" si="5"/>
        <v>1.1</v>
      </c>
    </row>
    <row r="47">
      <c r="A47" s="4" t="s">
        <v>248</v>
      </c>
      <c r="B47" s="4">
        <v>35.0</v>
      </c>
      <c r="C47" s="4">
        <v>33.0</v>
      </c>
      <c r="D47" s="4">
        <v>30.0</v>
      </c>
      <c r="E47" s="4">
        <v>30.0</v>
      </c>
      <c r="F47" s="4">
        <v>44.0</v>
      </c>
      <c r="G47" s="4" t="s">
        <v>248</v>
      </c>
      <c r="H47" s="12">
        <f t="shared" ref="H47:L47" si="6">B47/60</f>
        <v>0.5833333333</v>
      </c>
      <c r="I47" s="12">
        <f t="shared" si="6"/>
        <v>0.55</v>
      </c>
      <c r="J47" s="12">
        <f t="shared" si="6"/>
        <v>0.5</v>
      </c>
      <c r="K47" s="12">
        <f t="shared" si="6"/>
        <v>0.5</v>
      </c>
      <c r="L47" s="12">
        <f t="shared" si="6"/>
        <v>0.7333333333</v>
      </c>
    </row>
    <row r="48">
      <c r="A48" s="4" t="s">
        <v>459</v>
      </c>
      <c r="B48" s="4">
        <v>20.0</v>
      </c>
      <c r="C48" s="4">
        <v>19.0</v>
      </c>
      <c r="D48" s="4">
        <v>20.0</v>
      </c>
      <c r="E48" s="4">
        <v>17.0</v>
      </c>
      <c r="F48" s="4">
        <v>26.0</v>
      </c>
      <c r="G48" s="4" t="s">
        <v>459</v>
      </c>
      <c r="H48" s="12">
        <f t="shared" ref="H48:L48" si="7">B48/60</f>
        <v>0.3333333333</v>
      </c>
      <c r="I48" s="12">
        <f t="shared" si="7"/>
        <v>0.3166666667</v>
      </c>
      <c r="J48" s="12">
        <f t="shared" si="7"/>
        <v>0.3333333333</v>
      </c>
      <c r="K48" s="12">
        <f t="shared" si="7"/>
        <v>0.2833333333</v>
      </c>
      <c r="L48" s="12">
        <f t="shared" si="7"/>
        <v>0.4333333333</v>
      </c>
    </row>
    <row r="49">
      <c r="A49" s="4" t="s">
        <v>460</v>
      </c>
      <c r="B49" s="4">
        <v>0.0</v>
      </c>
      <c r="C49" s="4">
        <v>0.0</v>
      </c>
      <c r="D49" s="4">
        <v>0.0</v>
      </c>
      <c r="E49" s="4">
        <v>0.0</v>
      </c>
      <c r="F49" s="4">
        <v>25.0</v>
      </c>
      <c r="G49" s="4" t="s">
        <v>460</v>
      </c>
      <c r="H49" s="12">
        <f t="shared" ref="H49:L49" si="8">B49/60</f>
        <v>0</v>
      </c>
      <c r="I49" s="12">
        <f t="shared" si="8"/>
        <v>0</v>
      </c>
      <c r="J49" s="12">
        <f t="shared" si="8"/>
        <v>0</v>
      </c>
      <c r="K49" s="12">
        <f t="shared" si="8"/>
        <v>0</v>
      </c>
      <c r="L49" s="13">
        <f t="shared" si="8"/>
        <v>0.4166666667</v>
      </c>
    </row>
    <row r="50">
      <c r="A50" s="4"/>
      <c r="K50" s="22" t="s">
        <v>461</v>
      </c>
      <c r="V50" s="42" t="s">
        <v>462</v>
      </c>
    </row>
    <row r="51">
      <c r="A51" s="4" t="s">
        <v>463</v>
      </c>
      <c r="K51" s="40" t="s">
        <v>464</v>
      </c>
    </row>
    <row r="52">
      <c r="A52" s="4" t="s">
        <v>455</v>
      </c>
      <c r="B52" s="4" t="s">
        <v>465</v>
      </c>
      <c r="C52" s="4" t="s">
        <v>450</v>
      </c>
      <c r="D52" s="4" t="s">
        <v>451</v>
      </c>
      <c r="E52" s="4" t="s">
        <v>452</v>
      </c>
      <c r="F52" s="4" t="s">
        <v>466</v>
      </c>
      <c r="G52" s="4" t="s">
        <v>453</v>
      </c>
      <c r="H52" s="4" t="s">
        <v>467</v>
      </c>
      <c r="I52" s="4" t="s">
        <v>454</v>
      </c>
    </row>
    <row r="53">
      <c r="A53" s="4" t="s">
        <v>456</v>
      </c>
      <c r="B53" s="4">
        <v>0.12</v>
      </c>
      <c r="C53" s="4">
        <v>0.11</v>
      </c>
      <c r="D53" s="4">
        <v>0.11</v>
      </c>
      <c r="E53" s="4">
        <v>0.08</v>
      </c>
      <c r="F53" s="4">
        <v>0.07</v>
      </c>
      <c r="G53" s="4">
        <v>0.1</v>
      </c>
      <c r="H53" s="4">
        <v>0.09</v>
      </c>
      <c r="I53" s="3">
        <v>0.09</v>
      </c>
    </row>
    <row r="54">
      <c r="A54" s="4" t="s">
        <v>457</v>
      </c>
      <c r="B54" s="4">
        <v>0.34</v>
      </c>
      <c r="C54" s="4">
        <v>0.19</v>
      </c>
      <c r="D54" s="4">
        <v>0.18</v>
      </c>
      <c r="E54" s="4">
        <v>0.08</v>
      </c>
      <c r="F54" s="4">
        <v>0.04</v>
      </c>
      <c r="G54" s="4">
        <v>0.13</v>
      </c>
      <c r="H54" s="4">
        <v>0.04</v>
      </c>
      <c r="I54" s="3">
        <v>0.0</v>
      </c>
    </row>
    <row r="55">
      <c r="A55" s="4" t="s">
        <v>199</v>
      </c>
      <c r="B55" s="4">
        <v>0.34</v>
      </c>
      <c r="C55" s="4">
        <v>0.47</v>
      </c>
      <c r="D55" s="4">
        <v>0.53</v>
      </c>
      <c r="E55" s="4">
        <v>0.64</v>
      </c>
      <c r="F55" s="4">
        <v>0.66</v>
      </c>
      <c r="G55" s="4">
        <v>0.7</v>
      </c>
      <c r="H55" s="4">
        <v>0.71</v>
      </c>
      <c r="I55" s="3">
        <v>0.0</v>
      </c>
    </row>
    <row r="56">
      <c r="A56" s="4" t="s">
        <v>458</v>
      </c>
      <c r="B56" s="4">
        <v>0.94</v>
      </c>
      <c r="C56" s="4">
        <v>0.88</v>
      </c>
      <c r="D56" s="4">
        <v>0.83</v>
      </c>
      <c r="E56" s="4">
        <v>0.76</v>
      </c>
      <c r="F56" s="4">
        <v>0.69</v>
      </c>
      <c r="G56" s="4">
        <v>0.81</v>
      </c>
      <c r="H56" s="4">
        <v>0.73</v>
      </c>
      <c r="I56" s="3">
        <v>1.1</v>
      </c>
    </row>
    <row r="57">
      <c r="A57" s="4" t="s">
        <v>201</v>
      </c>
      <c r="B57" s="4">
        <v>0.32</v>
      </c>
      <c r="C57" s="4">
        <v>0.27</v>
      </c>
      <c r="D57" s="4">
        <v>0.17</v>
      </c>
      <c r="E57" s="4">
        <v>0.08</v>
      </c>
      <c r="F57" s="4">
        <v>0.03</v>
      </c>
      <c r="G57" s="4">
        <v>0.0</v>
      </c>
      <c r="H57" s="4">
        <v>0.0</v>
      </c>
      <c r="I57" s="3">
        <v>0.0</v>
      </c>
    </row>
    <row r="58">
      <c r="A58" s="4" t="s">
        <v>459</v>
      </c>
      <c r="B58" s="4">
        <v>0.36</v>
      </c>
      <c r="C58" s="4">
        <v>0.34</v>
      </c>
      <c r="D58" s="4">
        <v>0.32</v>
      </c>
      <c r="E58" s="4">
        <v>0.29</v>
      </c>
      <c r="F58" s="4">
        <v>0.27</v>
      </c>
      <c r="G58" s="4">
        <v>0.31</v>
      </c>
      <c r="H58" s="4">
        <v>0.28</v>
      </c>
      <c r="I58" s="3">
        <v>0.43</v>
      </c>
    </row>
    <row r="59">
      <c r="A59" s="4" t="s">
        <v>468</v>
      </c>
      <c r="B59" s="4">
        <v>0.36</v>
      </c>
      <c r="C59" s="4">
        <v>0.34</v>
      </c>
      <c r="D59" s="4">
        <v>0.32</v>
      </c>
      <c r="E59" s="4">
        <v>0.29</v>
      </c>
      <c r="F59" s="4">
        <v>0.27</v>
      </c>
      <c r="G59" s="4">
        <v>0.31</v>
      </c>
      <c r="H59" s="4">
        <v>0.28</v>
      </c>
      <c r="I59" s="3">
        <v>0.43</v>
      </c>
    </row>
    <row r="60">
      <c r="A60" s="4" t="s">
        <v>248</v>
      </c>
      <c r="B60" s="4">
        <v>0.62</v>
      </c>
      <c r="C60" s="4">
        <v>0.58</v>
      </c>
      <c r="D60" s="4">
        <v>0.55</v>
      </c>
      <c r="E60" s="4">
        <v>0.5</v>
      </c>
      <c r="F60" s="4">
        <v>0.46</v>
      </c>
      <c r="G60" s="4">
        <v>0.55</v>
      </c>
      <c r="H60" s="4">
        <v>0.5</v>
      </c>
      <c r="I60" s="3">
        <v>0.73</v>
      </c>
    </row>
    <row r="61">
      <c r="A61" s="4" t="s">
        <v>198</v>
      </c>
      <c r="I61" s="3">
        <v>0.69</v>
      </c>
    </row>
    <row r="62">
      <c r="A62" s="22"/>
      <c r="H62" s="4" t="s">
        <v>469</v>
      </c>
      <c r="I62" s="12">
        <f>SUM(I53:I61,L49)*60</f>
        <v>233.2</v>
      </c>
    </row>
    <row r="63">
      <c r="A63" s="22" t="s">
        <v>470</v>
      </c>
    </row>
    <row r="64">
      <c r="B64" s="4" t="s">
        <v>454</v>
      </c>
      <c r="C64" s="4" t="s">
        <v>454</v>
      </c>
      <c r="H64" s="4" t="s">
        <v>454</v>
      </c>
    </row>
    <row r="65">
      <c r="B65" s="4" t="s">
        <v>455</v>
      </c>
      <c r="C65" s="4" t="s">
        <v>471</v>
      </c>
      <c r="H65" s="4" t="s">
        <v>472</v>
      </c>
    </row>
    <row r="66">
      <c r="A66" s="4" t="s">
        <v>456</v>
      </c>
      <c r="B66" s="3">
        <v>0.09</v>
      </c>
      <c r="C66" s="12">
        <f t="shared" ref="C66:C75" si="9">B66*1000*1000*2/1000</f>
        <v>180</v>
      </c>
      <c r="H66" s="12">
        <f t="shared" ref="H66:H75" si="10">C66*1000/18250</f>
        <v>9.863013699</v>
      </c>
    </row>
    <row r="67">
      <c r="A67" s="4" t="s">
        <v>457</v>
      </c>
      <c r="B67" s="3">
        <v>0.0</v>
      </c>
      <c r="C67" s="12">
        <f t="shared" si="9"/>
        <v>0</v>
      </c>
      <c r="H67" s="12">
        <f t="shared" si="10"/>
        <v>0</v>
      </c>
      <c r="K67" s="42" t="s">
        <v>473</v>
      </c>
    </row>
    <row r="68">
      <c r="A68" s="4" t="s">
        <v>199</v>
      </c>
      <c r="B68" s="3">
        <v>0.0</v>
      </c>
      <c r="C68" s="12">
        <f t="shared" si="9"/>
        <v>0</v>
      </c>
      <c r="H68" s="12">
        <f t="shared" si="10"/>
        <v>0</v>
      </c>
    </row>
    <row r="69">
      <c r="A69" s="4" t="s">
        <v>458</v>
      </c>
      <c r="B69" s="3">
        <v>1.1</v>
      </c>
      <c r="C69" s="12">
        <f t="shared" si="9"/>
        <v>2200</v>
      </c>
      <c r="H69" s="12">
        <f t="shared" si="10"/>
        <v>120.5479452</v>
      </c>
    </row>
    <row r="70">
      <c r="A70" s="4" t="s">
        <v>201</v>
      </c>
      <c r="B70" s="3">
        <v>0.0</v>
      </c>
      <c r="C70" s="12">
        <f t="shared" si="9"/>
        <v>0</v>
      </c>
      <c r="H70" s="12">
        <f t="shared" si="10"/>
        <v>0</v>
      </c>
    </row>
    <row r="71">
      <c r="A71" s="4" t="s">
        <v>459</v>
      </c>
      <c r="B71" s="3">
        <v>0.43</v>
      </c>
      <c r="C71" s="12">
        <f t="shared" si="9"/>
        <v>860</v>
      </c>
      <c r="H71" s="12">
        <f t="shared" si="10"/>
        <v>47.12328767</v>
      </c>
    </row>
    <row r="72">
      <c r="A72" s="4" t="s">
        <v>468</v>
      </c>
      <c r="B72" s="3">
        <v>0.43</v>
      </c>
      <c r="C72" s="12">
        <f t="shared" si="9"/>
        <v>860</v>
      </c>
      <c r="H72" s="12">
        <f t="shared" si="10"/>
        <v>47.12328767</v>
      </c>
    </row>
    <row r="73">
      <c r="A73" s="4" t="s">
        <v>248</v>
      </c>
      <c r="B73" s="3">
        <v>0.73</v>
      </c>
      <c r="C73" s="12">
        <f t="shared" si="9"/>
        <v>1460</v>
      </c>
      <c r="H73" s="12">
        <f t="shared" si="10"/>
        <v>80</v>
      </c>
    </row>
    <row r="74">
      <c r="A74" s="4" t="s">
        <v>198</v>
      </c>
      <c r="B74" s="3">
        <v>0.69</v>
      </c>
      <c r="C74" s="12">
        <f t="shared" si="9"/>
        <v>1380</v>
      </c>
      <c r="H74" s="12">
        <f t="shared" si="10"/>
        <v>75.61643836</v>
      </c>
    </row>
    <row r="75">
      <c r="A75" s="4" t="s">
        <v>460</v>
      </c>
      <c r="B75" s="3">
        <v>0.42</v>
      </c>
      <c r="C75" s="12">
        <f t="shared" si="9"/>
        <v>840</v>
      </c>
      <c r="H75" s="12">
        <f t="shared" si="10"/>
        <v>46.02739726</v>
      </c>
    </row>
    <row r="76">
      <c r="A76" s="4" t="s">
        <v>474</v>
      </c>
      <c r="B76" s="12">
        <f t="shared" ref="B76:C76" si="11">SUM(B66:B75)</f>
        <v>3.89</v>
      </c>
      <c r="C76" s="12">
        <f t="shared" si="11"/>
        <v>7780</v>
      </c>
      <c r="H76" s="12">
        <f>SUM(H66:H75)</f>
        <v>426.3013699</v>
      </c>
    </row>
    <row r="77">
      <c r="A77" s="22"/>
    </row>
    <row r="78">
      <c r="A78" s="22" t="s">
        <v>475</v>
      </c>
    </row>
    <row r="79">
      <c r="A79" s="61" t="s">
        <v>476</v>
      </c>
    </row>
    <row r="80">
      <c r="A80" s="24" t="s">
        <v>477</v>
      </c>
    </row>
    <row r="81">
      <c r="A81" s="4" t="s">
        <v>478</v>
      </c>
      <c r="B81" s="22">
        <f>100-0.35-1-3-0.02-0.01-0.01-0.15-1-0.01-0.2</f>
        <v>94.25</v>
      </c>
    </row>
    <row r="82">
      <c r="A82" s="22"/>
    </row>
    <row r="83">
      <c r="A83" s="22" t="s">
        <v>479</v>
      </c>
    </row>
    <row r="84">
      <c r="A84" s="27" t="s">
        <v>480</v>
      </c>
      <c r="B84" s="22" t="s">
        <v>481</v>
      </c>
      <c r="C84" s="22" t="s">
        <v>482</v>
      </c>
      <c r="D84" s="62"/>
      <c r="E84" s="22" t="s">
        <v>483</v>
      </c>
    </row>
    <row r="85">
      <c r="A85" s="63" t="s">
        <v>484</v>
      </c>
      <c r="B85" s="64" t="s">
        <v>485</v>
      </c>
      <c r="C85" s="4">
        <v>67.005</v>
      </c>
      <c r="D85" s="65"/>
      <c r="E85" s="12">
        <f>C72*0.67005</f>
        <v>576.243</v>
      </c>
    </row>
    <row r="86">
      <c r="A86" s="66" t="s">
        <v>486</v>
      </c>
      <c r="B86" s="64" t="s">
        <v>487</v>
      </c>
      <c r="C86" s="4">
        <v>10.5</v>
      </c>
      <c r="D86" s="67"/>
      <c r="E86" s="12">
        <f>C72*0.105</f>
        <v>90.3</v>
      </c>
    </row>
    <row r="87">
      <c r="A87" s="68" t="s">
        <v>488</v>
      </c>
      <c r="B87" s="64" t="s">
        <v>489</v>
      </c>
      <c r="C87" s="4">
        <v>19.5</v>
      </c>
      <c r="D87" s="67"/>
      <c r="E87" s="12">
        <f>C72*0.195</f>
        <v>167.7</v>
      </c>
    </row>
    <row r="88">
      <c r="A88" s="69"/>
      <c r="B88" s="64" t="s">
        <v>490</v>
      </c>
      <c r="C88" s="4">
        <v>2.0</v>
      </c>
      <c r="D88" s="67"/>
      <c r="E88" s="12">
        <f>C72*0.02</f>
        <v>17.2</v>
      </c>
    </row>
    <row r="89">
      <c r="A89" s="70" t="s">
        <v>491</v>
      </c>
      <c r="B89" s="13"/>
      <c r="C89" s="33"/>
      <c r="D89" s="71"/>
      <c r="E89" s="13"/>
      <c r="F89" s="13"/>
      <c r="G89" s="13"/>
      <c r="H89" s="13"/>
      <c r="I89" s="13"/>
      <c r="J89" s="13"/>
      <c r="K89" s="13"/>
      <c r="L89" s="13"/>
      <c r="M89" s="13"/>
      <c r="N89" s="13"/>
      <c r="O89" s="13"/>
      <c r="P89" s="13"/>
      <c r="Q89" s="13"/>
      <c r="R89" s="13"/>
      <c r="S89" s="13"/>
      <c r="T89" s="13"/>
      <c r="U89" s="13"/>
      <c r="V89" s="13"/>
      <c r="W89" s="13"/>
      <c r="X89" s="13"/>
      <c r="Y89" s="13"/>
      <c r="Z89" s="13"/>
      <c r="AA89" s="13"/>
    </row>
    <row r="90">
      <c r="A90" s="13"/>
      <c r="B90" s="3" t="s">
        <v>454</v>
      </c>
      <c r="C90" s="33"/>
      <c r="D90" s="71"/>
      <c r="E90" s="13"/>
      <c r="F90" s="13"/>
      <c r="G90" s="3" t="s">
        <v>454</v>
      </c>
      <c r="H90" s="13"/>
      <c r="I90" s="13"/>
      <c r="J90" s="13"/>
      <c r="K90" s="13"/>
      <c r="L90" s="13"/>
      <c r="M90" s="13"/>
      <c r="N90" s="13"/>
      <c r="O90" s="13"/>
      <c r="P90" s="13"/>
      <c r="Q90" s="13"/>
      <c r="R90" s="13"/>
      <c r="S90" s="13"/>
      <c r="T90" s="13"/>
      <c r="U90" s="13"/>
      <c r="V90" s="13"/>
      <c r="W90" s="13"/>
      <c r="X90" s="13"/>
      <c r="Y90" s="13"/>
      <c r="Z90" s="13"/>
      <c r="AA90" s="13"/>
    </row>
    <row r="91">
      <c r="A91" s="13"/>
      <c r="B91" s="3" t="s">
        <v>471</v>
      </c>
      <c r="C91" s="33"/>
      <c r="D91" s="71"/>
      <c r="E91" s="13"/>
      <c r="F91" s="13"/>
      <c r="G91" s="3" t="s">
        <v>472</v>
      </c>
      <c r="H91" s="13"/>
      <c r="I91" s="13"/>
      <c r="J91" s="13"/>
      <c r="K91" s="13"/>
      <c r="L91" s="13"/>
      <c r="M91" s="13"/>
      <c r="N91" s="13"/>
      <c r="O91" s="13"/>
      <c r="P91" s="13"/>
      <c r="Q91" s="13"/>
      <c r="R91" s="13"/>
      <c r="S91" s="13"/>
      <c r="T91" s="13"/>
      <c r="U91" s="13"/>
      <c r="V91" s="13"/>
      <c r="W91" s="13"/>
      <c r="X91" s="13"/>
      <c r="Y91" s="13"/>
      <c r="Z91" s="13"/>
      <c r="AA91" s="13"/>
    </row>
    <row r="92">
      <c r="A92" s="3"/>
      <c r="B92" s="3" t="s">
        <v>492</v>
      </c>
      <c r="C92" s="33"/>
      <c r="D92" s="13"/>
      <c r="E92" s="72"/>
      <c r="F92" s="3"/>
      <c r="G92" s="3" t="s">
        <v>492</v>
      </c>
      <c r="H92" s="13"/>
      <c r="I92" s="13"/>
      <c r="J92" s="13"/>
      <c r="K92" s="13"/>
      <c r="L92" s="13"/>
      <c r="M92" s="13"/>
      <c r="N92" s="13"/>
      <c r="O92" s="13"/>
      <c r="P92" s="13"/>
      <c r="Q92" s="13"/>
      <c r="R92" s="13"/>
      <c r="S92" s="13"/>
      <c r="T92" s="13"/>
      <c r="U92" s="13"/>
      <c r="V92" s="13"/>
      <c r="W92" s="13"/>
      <c r="X92" s="13"/>
      <c r="Y92" s="13"/>
      <c r="Z92" s="13"/>
      <c r="AA92" s="13"/>
    </row>
    <row r="93">
      <c r="A93" s="3" t="s">
        <v>456</v>
      </c>
      <c r="B93" s="3">
        <f>C66</f>
        <v>180</v>
      </c>
      <c r="C93" s="33"/>
      <c r="D93" s="13"/>
      <c r="E93" s="72"/>
      <c r="F93" s="3" t="s">
        <v>456</v>
      </c>
      <c r="G93" s="13">
        <f t="shared" ref="G93:G102" si="12">B93*1000/18250</f>
        <v>9.863013699</v>
      </c>
      <c r="H93" s="13"/>
      <c r="I93" s="13"/>
      <c r="J93" s="13"/>
      <c r="K93" s="13"/>
      <c r="L93" s="13"/>
      <c r="M93" s="13"/>
      <c r="N93" s="13"/>
      <c r="O93" s="13"/>
      <c r="P93" s="13"/>
      <c r="Q93" s="13"/>
      <c r="R93" s="13"/>
      <c r="S93" s="13"/>
      <c r="T93" s="13"/>
      <c r="U93" s="13"/>
      <c r="V93" s="13"/>
      <c r="W93" s="13"/>
      <c r="X93" s="13"/>
      <c r="Y93" s="13"/>
      <c r="Z93" s="13"/>
      <c r="AA93" s="13"/>
    </row>
    <row r="94">
      <c r="A94" s="3" t="s">
        <v>200</v>
      </c>
      <c r="B94" s="3">
        <f>E87</f>
        <v>167.7</v>
      </c>
      <c r="C94" s="13"/>
      <c r="D94" s="13"/>
      <c r="E94" s="13"/>
      <c r="F94" s="3" t="s">
        <v>200</v>
      </c>
      <c r="G94" s="13">
        <f t="shared" si="12"/>
        <v>9.189041096</v>
      </c>
      <c r="H94" s="13"/>
      <c r="I94" s="13"/>
      <c r="J94" s="13"/>
      <c r="K94" s="13"/>
      <c r="L94" s="13"/>
      <c r="M94" s="13"/>
      <c r="N94" s="13"/>
      <c r="O94" s="13"/>
      <c r="P94" s="13"/>
      <c r="Q94" s="13"/>
      <c r="R94" s="13"/>
      <c r="S94" s="13"/>
      <c r="T94" s="13"/>
      <c r="U94" s="13"/>
      <c r="V94" s="13"/>
      <c r="W94" s="13"/>
      <c r="X94" s="13"/>
      <c r="Y94" s="13"/>
      <c r="Z94" s="13"/>
      <c r="AA94" s="13"/>
    </row>
    <row r="95">
      <c r="A95" s="3" t="s">
        <v>457</v>
      </c>
      <c r="B95" s="3">
        <f>C67</f>
        <v>0</v>
      </c>
      <c r="C95" s="13"/>
      <c r="D95" s="13"/>
      <c r="E95" s="13"/>
      <c r="F95" s="3" t="s">
        <v>457</v>
      </c>
      <c r="G95" s="13">
        <f t="shared" si="12"/>
        <v>0</v>
      </c>
      <c r="H95" s="13"/>
      <c r="I95" s="13"/>
      <c r="J95" s="13"/>
      <c r="K95" s="13"/>
      <c r="L95" s="13"/>
      <c r="M95" s="13"/>
      <c r="N95" s="13"/>
      <c r="O95" s="13"/>
      <c r="P95" s="13"/>
      <c r="Q95" s="13"/>
      <c r="R95" s="13"/>
      <c r="S95" s="13"/>
      <c r="T95" s="13"/>
      <c r="U95" s="13"/>
      <c r="V95" s="13"/>
      <c r="W95" s="13"/>
      <c r="X95" s="13"/>
      <c r="Y95" s="13"/>
      <c r="Z95" s="13"/>
      <c r="AA95" s="13"/>
    </row>
    <row r="96">
      <c r="A96" s="3" t="s">
        <v>199</v>
      </c>
      <c r="B96" s="13">
        <f>E86</f>
        <v>90.3</v>
      </c>
      <c r="C96" s="13"/>
      <c r="D96" s="13"/>
      <c r="E96" s="13"/>
      <c r="F96" s="3" t="s">
        <v>199</v>
      </c>
      <c r="G96" s="13">
        <f t="shared" si="12"/>
        <v>4.947945205</v>
      </c>
      <c r="H96" s="13"/>
      <c r="I96" s="13"/>
      <c r="J96" s="13"/>
      <c r="K96" s="13"/>
      <c r="L96" s="13"/>
      <c r="M96" s="13"/>
      <c r="N96" s="13"/>
      <c r="O96" s="13"/>
      <c r="P96" s="13"/>
      <c r="Q96" s="13"/>
      <c r="R96" s="13"/>
      <c r="S96" s="13"/>
      <c r="T96" s="13"/>
      <c r="U96" s="13"/>
      <c r="V96" s="13"/>
      <c r="W96" s="13"/>
      <c r="X96" s="13"/>
      <c r="Y96" s="13"/>
      <c r="Z96" s="13"/>
      <c r="AA96" s="13"/>
    </row>
    <row r="97">
      <c r="A97" s="3" t="s">
        <v>458</v>
      </c>
      <c r="B97" s="13">
        <f>C69</f>
        <v>2200</v>
      </c>
      <c r="C97" s="13"/>
      <c r="D97" s="13"/>
      <c r="E97" s="13"/>
      <c r="F97" s="3" t="s">
        <v>458</v>
      </c>
      <c r="G97" s="13">
        <f t="shared" si="12"/>
        <v>120.5479452</v>
      </c>
      <c r="H97" s="13"/>
      <c r="I97" s="13"/>
      <c r="J97" s="13"/>
      <c r="K97" s="13"/>
      <c r="L97" s="13"/>
      <c r="M97" s="13"/>
      <c r="N97" s="13"/>
      <c r="O97" s="13"/>
      <c r="P97" s="13"/>
      <c r="Q97" s="13"/>
      <c r="R97" s="13"/>
      <c r="S97" s="13"/>
      <c r="T97" s="13"/>
      <c r="U97" s="13"/>
      <c r="V97" s="13"/>
      <c r="W97" s="13"/>
      <c r="X97" s="13"/>
      <c r="Y97" s="13"/>
      <c r="Z97" s="13"/>
      <c r="AA97" s="13"/>
    </row>
    <row r="98">
      <c r="A98" s="3" t="s">
        <v>201</v>
      </c>
      <c r="B98" s="13">
        <f>C70+E88</f>
        <v>17.2</v>
      </c>
      <c r="C98" s="13"/>
      <c r="D98" s="13"/>
      <c r="E98" s="13"/>
      <c r="F98" s="3" t="s">
        <v>201</v>
      </c>
      <c r="G98" s="13">
        <f t="shared" si="12"/>
        <v>0.9424657534</v>
      </c>
      <c r="H98" s="13"/>
      <c r="I98" s="13"/>
      <c r="J98" s="13"/>
      <c r="K98" s="13"/>
      <c r="L98" s="13"/>
      <c r="M98" s="13"/>
      <c r="N98" s="13"/>
      <c r="O98" s="13"/>
      <c r="P98" s="13"/>
      <c r="Q98" s="13"/>
      <c r="R98" s="13"/>
      <c r="S98" s="13"/>
      <c r="T98" s="13"/>
      <c r="U98" s="13"/>
      <c r="V98" s="13"/>
      <c r="W98" s="13"/>
      <c r="X98" s="13"/>
      <c r="Y98" s="13"/>
      <c r="Z98" s="13"/>
      <c r="AA98" s="13"/>
    </row>
    <row r="99">
      <c r="A99" s="3" t="s">
        <v>459</v>
      </c>
      <c r="B99" s="13">
        <f>C71</f>
        <v>860</v>
      </c>
      <c r="C99" s="13"/>
      <c r="D99" s="13"/>
      <c r="E99" s="13"/>
      <c r="F99" s="3" t="s">
        <v>459</v>
      </c>
      <c r="G99" s="13">
        <f t="shared" si="12"/>
        <v>47.12328767</v>
      </c>
      <c r="H99" s="13"/>
      <c r="I99" s="13"/>
      <c r="J99" s="13"/>
      <c r="K99" s="13"/>
      <c r="L99" s="13"/>
      <c r="M99" s="13"/>
      <c r="N99" s="13"/>
      <c r="O99" s="13"/>
      <c r="P99" s="13"/>
      <c r="Q99" s="13"/>
      <c r="R99" s="13"/>
      <c r="S99" s="13"/>
      <c r="T99" s="13"/>
      <c r="U99" s="13"/>
      <c r="V99" s="13"/>
      <c r="W99" s="13"/>
      <c r="X99" s="13"/>
      <c r="Y99" s="13"/>
      <c r="Z99" s="13"/>
      <c r="AA99" s="13"/>
    </row>
    <row r="100">
      <c r="A100" s="3" t="s">
        <v>248</v>
      </c>
      <c r="B100" s="13">
        <f>C73</f>
        <v>1460</v>
      </c>
      <c r="C100" s="13"/>
      <c r="D100" s="13"/>
      <c r="E100" s="13"/>
      <c r="F100" s="3" t="s">
        <v>248</v>
      </c>
      <c r="G100" s="13">
        <f t="shared" si="12"/>
        <v>80</v>
      </c>
      <c r="H100" s="13"/>
      <c r="I100" s="13"/>
      <c r="J100" s="13"/>
      <c r="K100" s="13"/>
      <c r="L100" s="13"/>
      <c r="M100" s="13"/>
      <c r="N100" s="13"/>
      <c r="O100" s="13"/>
      <c r="P100" s="13"/>
      <c r="Q100" s="13"/>
      <c r="R100" s="13"/>
      <c r="S100" s="13"/>
      <c r="T100" s="13"/>
      <c r="U100" s="13"/>
      <c r="V100" s="13"/>
      <c r="W100" s="13"/>
      <c r="X100" s="13"/>
      <c r="Y100" s="13"/>
      <c r="Z100" s="13"/>
      <c r="AA100" s="13"/>
    </row>
    <row r="101">
      <c r="A101" s="3" t="s">
        <v>198</v>
      </c>
      <c r="B101" s="13">
        <f>C74+E85</f>
        <v>1956.243</v>
      </c>
      <c r="C101" s="13"/>
      <c r="D101" s="13"/>
      <c r="E101" s="13"/>
      <c r="F101" s="3" t="s">
        <v>198</v>
      </c>
      <c r="G101" s="13">
        <f t="shared" si="12"/>
        <v>107.1913973</v>
      </c>
      <c r="H101" s="13"/>
      <c r="I101" s="13"/>
      <c r="J101" s="13"/>
      <c r="K101" s="13"/>
      <c r="L101" s="13"/>
      <c r="M101" s="13"/>
      <c r="N101" s="13"/>
      <c r="O101" s="13"/>
      <c r="P101" s="13"/>
      <c r="Q101" s="13"/>
      <c r="R101" s="13"/>
      <c r="S101" s="13"/>
      <c r="T101" s="13"/>
      <c r="U101" s="13"/>
      <c r="V101" s="13"/>
      <c r="W101" s="13"/>
      <c r="X101" s="13"/>
      <c r="Y101" s="13"/>
      <c r="Z101" s="13"/>
      <c r="AA101" s="13"/>
    </row>
    <row r="102">
      <c r="A102" s="3" t="s">
        <v>460</v>
      </c>
      <c r="B102" s="13">
        <f>C75</f>
        <v>840</v>
      </c>
      <c r="C102" s="13"/>
      <c r="D102" s="13"/>
      <c r="E102" s="13"/>
      <c r="F102" s="3" t="s">
        <v>460</v>
      </c>
      <c r="G102" s="13">
        <f t="shared" si="12"/>
        <v>46.02739726</v>
      </c>
      <c r="H102" s="13"/>
      <c r="I102" s="13"/>
      <c r="J102" s="13"/>
      <c r="K102" s="13"/>
      <c r="L102" s="13"/>
      <c r="M102" s="13"/>
      <c r="N102" s="13"/>
      <c r="O102" s="13"/>
      <c r="P102" s="13"/>
      <c r="Q102" s="13"/>
      <c r="R102" s="13"/>
      <c r="S102" s="13"/>
      <c r="T102" s="13"/>
      <c r="U102" s="13"/>
      <c r="V102" s="13"/>
      <c r="W102" s="13"/>
      <c r="X102" s="13"/>
      <c r="Y102" s="13"/>
      <c r="Z102" s="13"/>
      <c r="AA102" s="13"/>
    </row>
    <row r="105">
      <c r="A105" s="22" t="s">
        <v>493</v>
      </c>
    </row>
    <row r="106">
      <c r="A106" s="5" t="s">
        <v>494</v>
      </c>
      <c r="B106" s="6"/>
      <c r="C106" s="6"/>
      <c r="D106" s="6"/>
      <c r="E106" s="6"/>
      <c r="F106" s="6"/>
      <c r="G106" s="6"/>
      <c r="H106" s="6"/>
      <c r="I106" s="6"/>
      <c r="J106" s="6"/>
      <c r="K106" s="6"/>
      <c r="L106" s="6"/>
      <c r="M106" s="6"/>
      <c r="N106" s="6"/>
      <c r="O106" s="6"/>
      <c r="P106" s="6"/>
      <c r="Q106" s="6"/>
      <c r="R106" s="6"/>
      <c r="S106" s="6"/>
      <c r="T106" s="6"/>
      <c r="U106" s="6"/>
      <c r="V106" s="6"/>
      <c r="W106" s="6"/>
      <c r="X106" s="6"/>
      <c r="Y106" s="6"/>
      <c r="Z106" s="6"/>
      <c r="AA106" s="6"/>
    </row>
    <row r="107">
      <c r="A107" s="4" t="s">
        <v>455</v>
      </c>
    </row>
    <row r="108">
      <c r="A108" s="4" t="s">
        <v>495</v>
      </c>
      <c r="B108" s="4">
        <v>0.1</v>
      </c>
    </row>
    <row r="109">
      <c r="A109" s="4" t="s">
        <v>496</v>
      </c>
      <c r="B109" s="4">
        <v>1.89</v>
      </c>
    </row>
    <row r="110">
      <c r="A110" s="4" t="s">
        <v>497</v>
      </c>
      <c r="B110" s="4">
        <v>1.4</v>
      </c>
    </row>
    <row r="111">
      <c r="A111" s="4" t="s">
        <v>468</v>
      </c>
      <c r="B111" s="4">
        <v>0.067</v>
      </c>
    </row>
    <row r="112">
      <c r="A112" s="4" t="s">
        <v>458</v>
      </c>
      <c r="B112" s="4">
        <v>1.19</v>
      </c>
    </row>
    <row r="113">
      <c r="A113" s="42" t="s">
        <v>498</v>
      </c>
    </row>
    <row r="115">
      <c r="A115" s="73" t="s">
        <v>499</v>
      </c>
      <c r="B115" s="6"/>
      <c r="C115" s="6"/>
      <c r="D115" s="6"/>
      <c r="E115" s="6"/>
      <c r="F115" s="6"/>
      <c r="G115" s="6"/>
      <c r="H115" s="6"/>
      <c r="I115" s="6"/>
      <c r="J115" s="6"/>
      <c r="K115" s="6"/>
      <c r="L115" s="6"/>
      <c r="M115" s="6"/>
      <c r="N115" s="6"/>
      <c r="O115" s="6"/>
      <c r="P115" s="6"/>
      <c r="Q115" s="6"/>
      <c r="R115" s="6"/>
      <c r="S115" s="6"/>
      <c r="T115" s="6"/>
      <c r="U115" s="6"/>
      <c r="V115" s="6"/>
      <c r="W115" s="6"/>
      <c r="X115" s="6"/>
      <c r="Y115" s="6"/>
      <c r="Z115" s="6"/>
      <c r="AA115" s="6"/>
    </row>
    <row r="116">
      <c r="A116" s="4" t="s">
        <v>455</v>
      </c>
      <c r="C116" s="4" t="s">
        <v>500</v>
      </c>
    </row>
    <row r="117">
      <c r="A117" s="4" t="s">
        <v>501</v>
      </c>
      <c r="B117" s="4">
        <v>1.18</v>
      </c>
      <c r="C117" s="74">
        <v>0.141</v>
      </c>
    </row>
    <row r="118">
      <c r="A118" s="4" t="s">
        <v>502</v>
      </c>
      <c r="B118" s="4">
        <v>0.42</v>
      </c>
      <c r="C118" s="75">
        <v>0.05</v>
      </c>
    </row>
    <row r="119">
      <c r="A119" s="4" t="s">
        <v>276</v>
      </c>
      <c r="B119" s="4">
        <v>0.42</v>
      </c>
      <c r="C119" s="75">
        <v>0.05</v>
      </c>
    </row>
    <row r="120">
      <c r="A120" s="4" t="s">
        <v>374</v>
      </c>
      <c r="B120" s="4">
        <v>0.1</v>
      </c>
    </row>
    <row r="121">
      <c r="A121" s="4" t="s">
        <v>277</v>
      </c>
      <c r="B121" s="4">
        <v>1.09</v>
      </c>
    </row>
    <row r="125">
      <c r="A125" s="76"/>
    </row>
  </sheetData>
  <hyperlinks>
    <hyperlink r:id="rId1" ref="A13"/>
    <hyperlink r:id="rId2" location="gref" ref="A19"/>
    <hyperlink r:id="rId3" ref="A25"/>
    <hyperlink r:id="rId4" ref="A32"/>
    <hyperlink r:id="rId5" ref="A39"/>
    <hyperlink r:id="rId6" ref="V50"/>
    <hyperlink r:id="rId7" ref="K51"/>
    <hyperlink r:id="rId8" ref="K67"/>
    <hyperlink r:id="rId9" ref="A79"/>
    <hyperlink r:id="rId10" ref="A86"/>
    <hyperlink r:id="rId11" ref="A87"/>
    <hyperlink r:id="rId12" ref="A113"/>
  </hyperlinks>
  <drawing r:id="rId13"/>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1" max="1" width="21.75"/>
    <col customWidth="1" min="2" max="2" width="20.5"/>
    <col customWidth="1" min="3" max="3" width="14.88"/>
    <col customWidth="1" min="4" max="4" width="20.25"/>
    <col customWidth="1" min="5" max="5" width="13.75"/>
    <col customWidth="1" min="6" max="6" width="52.88"/>
    <col customWidth="1" min="8" max="8" width="14.0"/>
  </cols>
  <sheetData>
    <row r="1">
      <c r="A1" s="77" t="s">
        <v>503</v>
      </c>
      <c r="B1" s="78" t="s">
        <v>504</v>
      </c>
      <c r="C1" s="79" t="s">
        <v>505</v>
      </c>
      <c r="D1" s="79" t="s">
        <v>506</v>
      </c>
      <c r="E1" s="79" t="s">
        <v>507</v>
      </c>
      <c r="F1" s="80" t="s">
        <v>508</v>
      </c>
      <c r="G1" s="81" t="s">
        <v>509</v>
      </c>
    </row>
    <row r="2">
      <c r="A2" s="4" t="s">
        <v>510</v>
      </c>
      <c r="B2" s="64">
        <v>7.0</v>
      </c>
      <c r="C2" s="82"/>
      <c r="D2" s="82"/>
      <c r="E2" s="82">
        <v>0.0</v>
      </c>
      <c r="F2" s="63" t="s">
        <v>137</v>
      </c>
      <c r="G2" s="4" t="s">
        <v>511</v>
      </c>
      <c r="H2" s="66" t="s">
        <v>512</v>
      </c>
      <c r="I2" s="4" t="s">
        <v>513</v>
      </c>
    </row>
    <row r="3">
      <c r="A3" s="4" t="s">
        <v>369</v>
      </c>
      <c r="B3" s="83" t="s">
        <v>137</v>
      </c>
      <c r="C3" s="82">
        <v>38.0</v>
      </c>
      <c r="D3" s="84"/>
      <c r="E3" s="84">
        <v>0.3</v>
      </c>
      <c r="F3" s="63" t="s">
        <v>514</v>
      </c>
      <c r="G3" s="4" t="s">
        <v>515</v>
      </c>
      <c r="H3" s="68" t="s">
        <v>516</v>
      </c>
      <c r="I3" s="4" t="s">
        <v>517</v>
      </c>
    </row>
    <row r="4">
      <c r="A4" s="4" t="s">
        <v>275</v>
      </c>
      <c r="B4" s="64">
        <v>18.0</v>
      </c>
      <c r="C4" s="82"/>
      <c r="D4" s="82"/>
      <c r="E4" s="82">
        <v>2.0</v>
      </c>
      <c r="F4" s="63" t="s">
        <v>518</v>
      </c>
      <c r="G4" s="4" t="s">
        <v>519</v>
      </c>
      <c r="H4" s="68" t="s">
        <v>520</v>
      </c>
      <c r="I4" s="4" t="s">
        <v>521</v>
      </c>
    </row>
    <row r="5">
      <c r="A5" s="4" t="s">
        <v>370</v>
      </c>
      <c r="B5" s="64">
        <v>859.0</v>
      </c>
      <c r="C5" s="82"/>
      <c r="D5" s="82"/>
      <c r="E5" s="82">
        <v>85.0</v>
      </c>
      <c r="F5" s="63" t="s">
        <v>522</v>
      </c>
      <c r="H5" s="69"/>
    </row>
    <row r="6">
      <c r="A6" s="4" t="s">
        <v>276</v>
      </c>
      <c r="B6" s="64">
        <v>513.0</v>
      </c>
      <c r="C6" s="82"/>
      <c r="D6" s="82"/>
      <c r="E6" s="82">
        <v>9.0</v>
      </c>
      <c r="F6" s="63" t="s">
        <v>523</v>
      </c>
    </row>
    <row r="7">
      <c r="A7" s="4" t="s">
        <v>524</v>
      </c>
      <c r="B7" s="64">
        <v>420.0</v>
      </c>
      <c r="C7" s="82"/>
      <c r="D7" s="82"/>
      <c r="E7" s="82">
        <v>100.0</v>
      </c>
      <c r="F7" s="63" t="s">
        <v>525</v>
      </c>
      <c r="G7" s="4"/>
      <c r="H7" s="69"/>
    </row>
    <row r="8">
      <c r="A8" s="4" t="s">
        <v>526</v>
      </c>
      <c r="B8" s="64">
        <v>67.0</v>
      </c>
      <c r="C8" s="82"/>
      <c r="D8" s="82"/>
      <c r="E8" s="82">
        <v>100.0</v>
      </c>
      <c r="F8" s="85" t="s">
        <v>527</v>
      </c>
      <c r="G8" s="4"/>
      <c r="H8" s="69"/>
    </row>
    <row r="9">
      <c r="A9" s="4" t="s">
        <v>277</v>
      </c>
      <c r="B9" s="83" t="s">
        <v>137</v>
      </c>
      <c r="C9" s="86">
        <v>8.74</v>
      </c>
      <c r="D9" s="63"/>
      <c r="E9" s="87">
        <v>0.0</v>
      </c>
      <c r="F9" s="4" t="s">
        <v>528</v>
      </c>
      <c r="G9" s="10"/>
      <c r="H9" s="69"/>
    </row>
    <row r="10">
      <c r="A10" s="4" t="s">
        <v>278</v>
      </c>
      <c r="B10" s="64">
        <v>9.0</v>
      </c>
      <c r="C10" s="82"/>
      <c r="D10" s="82"/>
      <c r="E10" s="82">
        <v>1.0</v>
      </c>
      <c r="F10" s="63" t="s">
        <v>529</v>
      </c>
      <c r="H10" s="69"/>
    </row>
    <row r="11">
      <c r="A11" s="4" t="s">
        <v>279</v>
      </c>
      <c r="B11" s="83" t="s">
        <v>137</v>
      </c>
      <c r="C11" s="82">
        <v>50.0</v>
      </c>
      <c r="D11" s="82"/>
      <c r="E11" s="82">
        <v>10.0</v>
      </c>
      <c r="F11" s="63" t="s">
        <v>530</v>
      </c>
      <c r="H11" s="69"/>
    </row>
    <row r="12">
      <c r="A12" s="4" t="s">
        <v>374</v>
      </c>
      <c r="B12" s="64">
        <v>1634.0</v>
      </c>
      <c r="C12" s="82"/>
      <c r="D12" s="82"/>
      <c r="E12" s="82">
        <v>52.0</v>
      </c>
      <c r="F12" s="63" t="s">
        <v>531</v>
      </c>
      <c r="H12" s="69"/>
    </row>
    <row r="13">
      <c r="A13" s="4" t="s">
        <v>391</v>
      </c>
      <c r="B13" s="64">
        <v>10.0</v>
      </c>
      <c r="C13" s="82"/>
      <c r="D13" s="82"/>
      <c r="E13" s="82">
        <v>5.0</v>
      </c>
      <c r="F13" s="63" t="s">
        <v>531</v>
      </c>
      <c r="H13" s="69"/>
    </row>
    <row r="14">
      <c r="A14" s="4" t="s">
        <v>280</v>
      </c>
      <c r="B14" s="83" t="s">
        <v>137</v>
      </c>
      <c r="C14" s="64">
        <v>11.0</v>
      </c>
      <c r="D14" s="82"/>
      <c r="E14" s="82">
        <v>3.0</v>
      </c>
      <c r="F14" s="63" t="s">
        <v>485</v>
      </c>
      <c r="H14" s="69"/>
    </row>
    <row r="15">
      <c r="A15" s="4" t="s">
        <v>281</v>
      </c>
      <c r="B15" s="64">
        <v>4478.0</v>
      </c>
      <c r="C15" s="82"/>
      <c r="D15" s="82"/>
      <c r="E15" s="82">
        <v>46.0</v>
      </c>
      <c r="F15" s="63" t="s">
        <v>532</v>
      </c>
      <c r="H15" s="69"/>
    </row>
    <row r="16">
      <c r="A16" s="4" t="s">
        <v>533</v>
      </c>
      <c r="B16" s="64">
        <v>320.0</v>
      </c>
      <c r="C16" s="82"/>
      <c r="D16" s="82"/>
      <c r="E16" s="82">
        <v>100.0</v>
      </c>
      <c r="F16" s="85" t="s">
        <v>534</v>
      </c>
      <c r="H16" s="69"/>
    </row>
    <row r="17">
      <c r="A17" s="4" t="s">
        <v>282</v>
      </c>
      <c r="B17" s="64">
        <v>250.0</v>
      </c>
      <c r="C17" s="82"/>
      <c r="D17" s="82"/>
      <c r="E17" s="82">
        <v>2.0</v>
      </c>
      <c r="F17" s="63" t="s">
        <v>518</v>
      </c>
      <c r="H17" s="69"/>
    </row>
    <row r="18">
      <c r="A18" s="4" t="s">
        <v>283</v>
      </c>
      <c r="B18" s="83" t="s">
        <v>137</v>
      </c>
      <c r="C18" s="82">
        <v>479.0</v>
      </c>
      <c r="D18" s="82"/>
      <c r="E18" s="82">
        <v>2.0</v>
      </c>
      <c r="F18" s="63" t="s">
        <v>535</v>
      </c>
      <c r="G18" s="4"/>
      <c r="H18" s="69"/>
    </row>
    <row r="19">
      <c r="A19" s="4" t="s">
        <v>536</v>
      </c>
      <c r="B19" s="83" t="s">
        <v>137</v>
      </c>
      <c r="C19" s="82">
        <v>41.0</v>
      </c>
      <c r="D19" s="82"/>
      <c r="E19" s="87">
        <v>0.0</v>
      </c>
      <c r="F19" s="4" t="s">
        <v>528</v>
      </c>
      <c r="H19" s="69"/>
    </row>
    <row r="20">
      <c r="A20" s="4" t="s">
        <v>537</v>
      </c>
      <c r="B20" s="64">
        <v>450.0</v>
      </c>
      <c r="C20" s="82"/>
      <c r="D20" s="82"/>
      <c r="E20" s="82">
        <v>100.0</v>
      </c>
      <c r="F20" s="85" t="s">
        <v>538</v>
      </c>
      <c r="H20" s="69"/>
    </row>
    <row r="21">
      <c r="A21" s="4" t="s">
        <v>393</v>
      </c>
      <c r="B21" s="64">
        <v>3.0</v>
      </c>
      <c r="C21" s="88"/>
      <c r="D21" s="88"/>
      <c r="E21" s="87">
        <v>0.0</v>
      </c>
      <c r="F21" s="4" t="s">
        <v>528</v>
      </c>
      <c r="H21" s="69"/>
    </row>
    <row r="22">
      <c r="A22" s="4" t="s">
        <v>284</v>
      </c>
      <c r="B22" s="64">
        <v>22378.0</v>
      </c>
      <c r="C22" s="82"/>
      <c r="D22" s="82"/>
      <c r="E22" s="82">
        <v>71.0</v>
      </c>
      <c r="F22" s="63" t="s">
        <v>539</v>
      </c>
      <c r="H22" s="69"/>
    </row>
    <row r="23">
      <c r="A23" s="4" t="s">
        <v>540</v>
      </c>
      <c r="B23" s="64">
        <v>1500.0</v>
      </c>
      <c r="C23" s="82"/>
      <c r="D23" s="82"/>
      <c r="E23" s="82">
        <v>100.0</v>
      </c>
      <c r="F23" s="85" t="s">
        <v>541</v>
      </c>
      <c r="H23" s="69"/>
    </row>
    <row r="24">
      <c r="A24" s="4" t="s">
        <v>285</v>
      </c>
      <c r="B24" s="64">
        <v>2231.0</v>
      </c>
      <c r="C24" s="82"/>
      <c r="D24" s="82"/>
      <c r="E24" s="82">
        <v>3.0</v>
      </c>
      <c r="F24" s="63" t="s">
        <v>542</v>
      </c>
      <c r="H24" s="69"/>
    </row>
    <row r="25">
      <c r="A25" s="4" t="s">
        <v>375</v>
      </c>
      <c r="B25" s="64">
        <v>99.0</v>
      </c>
      <c r="C25" s="82"/>
      <c r="D25" s="82"/>
      <c r="E25" s="82">
        <v>0.0</v>
      </c>
      <c r="F25" s="63" t="s">
        <v>137</v>
      </c>
      <c r="H25" s="69"/>
    </row>
    <row r="26">
      <c r="A26" s="4" t="s">
        <v>286</v>
      </c>
      <c r="B26" s="64">
        <v>1081.0</v>
      </c>
      <c r="C26" s="82"/>
      <c r="D26" s="82"/>
      <c r="E26" s="82">
        <v>5.0</v>
      </c>
      <c r="F26" s="63" t="s">
        <v>543</v>
      </c>
      <c r="G26" s="10"/>
      <c r="H26" s="69"/>
    </row>
    <row r="27">
      <c r="A27" s="4" t="s">
        <v>544</v>
      </c>
      <c r="B27" s="83" t="s">
        <v>137</v>
      </c>
      <c r="C27" s="64">
        <v>3624.0</v>
      </c>
      <c r="D27" s="82" t="s">
        <v>545</v>
      </c>
      <c r="E27" s="82">
        <v>10.0</v>
      </c>
      <c r="F27" s="63" t="s">
        <v>546</v>
      </c>
      <c r="G27" s="10"/>
      <c r="H27" s="69"/>
    </row>
    <row r="28">
      <c r="A28" s="4" t="s">
        <v>547</v>
      </c>
      <c r="B28" s="89">
        <v>7.3</v>
      </c>
      <c r="C28" s="82"/>
      <c r="D28" s="82"/>
      <c r="E28" s="82">
        <v>29.0</v>
      </c>
      <c r="F28" s="85" t="s">
        <v>548</v>
      </c>
      <c r="G28" s="4"/>
      <c r="H28" s="69"/>
    </row>
    <row r="29">
      <c r="A29" s="4" t="s">
        <v>377</v>
      </c>
      <c r="B29" s="64">
        <v>71.0</v>
      </c>
      <c r="C29" s="82"/>
      <c r="D29" s="82"/>
      <c r="E29" s="82">
        <v>10.0</v>
      </c>
      <c r="F29" s="63" t="s">
        <v>549</v>
      </c>
      <c r="H29" s="69"/>
    </row>
    <row r="30">
      <c r="A30" s="4" t="s">
        <v>550</v>
      </c>
      <c r="B30" s="83" t="s">
        <v>137</v>
      </c>
      <c r="C30" s="64">
        <v>3.0</v>
      </c>
      <c r="D30" s="90"/>
      <c r="E30" s="87">
        <v>0.0</v>
      </c>
      <c r="F30" s="4" t="s">
        <v>528</v>
      </c>
      <c r="H30" s="69"/>
    </row>
    <row r="31">
      <c r="A31" s="4" t="s">
        <v>551</v>
      </c>
      <c r="B31" s="83" t="s">
        <v>137</v>
      </c>
      <c r="C31" s="89">
        <v>6.8</v>
      </c>
      <c r="D31" s="90"/>
      <c r="E31" s="87">
        <v>0.0</v>
      </c>
      <c r="F31" s="4" t="s">
        <v>528</v>
      </c>
      <c r="H31" s="69"/>
    </row>
    <row r="32">
      <c r="A32" s="4" t="s">
        <v>552</v>
      </c>
      <c r="B32" s="83" t="s">
        <v>137</v>
      </c>
      <c r="C32" s="91">
        <v>3.125</v>
      </c>
      <c r="D32" s="90"/>
      <c r="E32" s="87">
        <v>0.0</v>
      </c>
      <c r="F32" s="4" t="s">
        <v>528</v>
      </c>
      <c r="H32" s="69"/>
    </row>
    <row r="33">
      <c r="A33" s="4" t="s">
        <v>553</v>
      </c>
      <c r="B33" s="83" t="s">
        <v>137</v>
      </c>
      <c r="C33" s="86">
        <v>2.73</v>
      </c>
      <c r="D33" s="92" t="s">
        <v>554</v>
      </c>
      <c r="E33" s="87">
        <v>0.0</v>
      </c>
      <c r="F33" s="4" t="s">
        <v>528</v>
      </c>
      <c r="H33" s="69"/>
    </row>
    <row r="34">
      <c r="A34" s="93" t="s">
        <v>555</v>
      </c>
      <c r="B34" s="83" t="s">
        <v>137</v>
      </c>
      <c r="C34" s="94">
        <v>45.383</v>
      </c>
      <c r="D34" s="95"/>
      <c r="E34" s="96" t="s">
        <v>137</v>
      </c>
      <c r="F34" s="97" t="s">
        <v>137</v>
      </c>
      <c r="H34" s="69"/>
    </row>
    <row r="35">
      <c r="A35" s="93" t="s">
        <v>480</v>
      </c>
      <c r="B35" s="83" t="s">
        <v>137</v>
      </c>
      <c r="C35" s="94">
        <v>36.055</v>
      </c>
      <c r="D35" s="95"/>
      <c r="E35" s="96" t="s">
        <v>137</v>
      </c>
      <c r="F35" s="97" t="s">
        <v>137</v>
      </c>
      <c r="H35" s="69"/>
    </row>
    <row r="36">
      <c r="A36" s="93" t="s">
        <v>556</v>
      </c>
      <c r="B36" s="83" t="s">
        <v>137</v>
      </c>
      <c r="C36" s="94">
        <v>9.012</v>
      </c>
      <c r="D36" s="95"/>
      <c r="E36" s="96" t="s">
        <v>137</v>
      </c>
      <c r="F36" s="97" t="s">
        <v>137</v>
      </c>
      <c r="H36" s="69"/>
    </row>
    <row r="37">
      <c r="A37" s="93" t="s">
        <v>210</v>
      </c>
      <c r="B37" s="83" t="s">
        <v>137</v>
      </c>
      <c r="C37" s="94">
        <v>3.5</v>
      </c>
      <c r="D37" s="95"/>
      <c r="E37" s="96" t="s">
        <v>137</v>
      </c>
      <c r="F37" s="97" t="s">
        <v>137</v>
      </c>
      <c r="H37" s="69"/>
    </row>
    <row r="38">
      <c r="A38" s="93" t="s">
        <v>557</v>
      </c>
      <c r="B38" s="83" t="s">
        <v>137</v>
      </c>
      <c r="C38" s="94">
        <v>3.7</v>
      </c>
      <c r="D38" s="95"/>
      <c r="E38" s="96" t="s">
        <v>137</v>
      </c>
      <c r="F38" s="97" t="s">
        <v>137</v>
      </c>
      <c r="H38" s="69"/>
    </row>
    <row r="39">
      <c r="A39" s="81" t="s">
        <v>558</v>
      </c>
      <c r="I39" s="69"/>
    </row>
    <row r="40">
      <c r="A40" s="98" t="s">
        <v>559</v>
      </c>
      <c r="B40" s="22"/>
      <c r="C40" s="22"/>
      <c r="D40" s="90"/>
      <c r="F40" s="90"/>
      <c r="I40" s="69"/>
    </row>
    <row r="41">
      <c r="A41" s="27"/>
      <c r="B41" s="22"/>
      <c r="C41" s="22"/>
      <c r="D41" s="62"/>
      <c r="E41" s="22"/>
      <c r="F41" s="90"/>
      <c r="I41" s="69"/>
    </row>
    <row r="42">
      <c r="A42" s="99" t="s">
        <v>555</v>
      </c>
      <c r="B42" s="100" t="s">
        <v>481</v>
      </c>
      <c r="C42" s="100" t="s">
        <v>482</v>
      </c>
      <c r="D42" s="101" t="s">
        <v>560</v>
      </c>
      <c r="E42" s="100" t="s">
        <v>561</v>
      </c>
      <c r="F42" s="98" t="s">
        <v>562</v>
      </c>
      <c r="H42" s="69"/>
    </row>
    <row r="43">
      <c r="A43" s="102" t="s">
        <v>563</v>
      </c>
      <c r="B43" s="102" t="s">
        <v>485</v>
      </c>
      <c r="C43" s="102">
        <v>92.57</v>
      </c>
      <c r="D43" s="102">
        <v>0.928</v>
      </c>
      <c r="E43" s="103">
        <f>D43*B10</f>
        <v>8.352</v>
      </c>
      <c r="F43" s="66" t="s">
        <v>564</v>
      </c>
      <c r="H43" s="69"/>
    </row>
    <row r="44">
      <c r="A44" s="104" t="s">
        <v>565</v>
      </c>
      <c r="B44" s="102" t="s">
        <v>566</v>
      </c>
      <c r="C44" s="102">
        <v>3.9</v>
      </c>
      <c r="D44" s="102">
        <v>0.039</v>
      </c>
      <c r="E44" s="103">
        <f>D44*B17</f>
        <v>9.75</v>
      </c>
      <c r="F44" s="98"/>
      <c r="H44" s="69"/>
    </row>
    <row r="45">
      <c r="A45" s="99"/>
      <c r="B45" s="102" t="s">
        <v>490</v>
      </c>
      <c r="C45" s="102">
        <v>0.4</v>
      </c>
      <c r="D45" s="102">
        <v>0.004</v>
      </c>
      <c r="E45" s="103">
        <f>D45*C14</f>
        <v>0.044</v>
      </c>
      <c r="F45" s="98"/>
      <c r="H45" s="69"/>
    </row>
    <row r="46">
      <c r="A46" s="99"/>
      <c r="B46" s="102" t="s">
        <v>489</v>
      </c>
      <c r="C46" s="102">
        <v>2.0</v>
      </c>
      <c r="D46" s="102">
        <v>0.02</v>
      </c>
      <c r="E46" s="103">
        <f>D46*B4</f>
        <v>0.36</v>
      </c>
      <c r="F46" s="98"/>
      <c r="H46" s="69"/>
    </row>
    <row r="47">
      <c r="A47" s="99"/>
      <c r="B47" s="102" t="s">
        <v>567</v>
      </c>
      <c r="C47" s="102">
        <v>0.6</v>
      </c>
      <c r="D47" s="102">
        <v>0.006</v>
      </c>
      <c r="E47" s="103">
        <f>D47*B15</f>
        <v>26.868</v>
      </c>
      <c r="F47" s="98"/>
      <c r="H47" s="69"/>
    </row>
    <row r="48">
      <c r="A48" s="99"/>
      <c r="B48" s="102" t="s">
        <v>568</v>
      </c>
      <c r="C48" s="102">
        <v>0.3</v>
      </c>
      <c r="D48" s="102">
        <v>0.003</v>
      </c>
      <c r="E48" s="103">
        <f>D48*B21</f>
        <v>0.009</v>
      </c>
      <c r="F48" s="98"/>
      <c r="H48" s="69"/>
    </row>
    <row r="49">
      <c r="A49" s="99"/>
      <c r="B49" s="102" t="s">
        <v>569</v>
      </c>
      <c r="C49" s="102">
        <v>0.23</v>
      </c>
      <c r="D49" s="105" t="s">
        <v>137</v>
      </c>
      <c r="E49" s="102">
        <v>0.0</v>
      </c>
      <c r="F49" s="106" t="s">
        <v>570</v>
      </c>
      <c r="H49" s="69"/>
    </row>
    <row r="50">
      <c r="A50" s="99"/>
      <c r="B50" s="100"/>
      <c r="C50" s="100"/>
      <c r="D50" s="107" t="s">
        <v>571</v>
      </c>
      <c r="E50" s="108">
        <f>SUM(E43:E49)</f>
        <v>45.383</v>
      </c>
      <c r="F50" s="98"/>
      <c r="H50" s="69"/>
    </row>
    <row r="51">
      <c r="A51" s="27"/>
      <c r="B51" s="22"/>
      <c r="C51" s="22"/>
      <c r="D51" s="90"/>
      <c r="F51" s="98"/>
      <c r="H51" s="69"/>
    </row>
    <row r="52">
      <c r="A52" s="109" t="s">
        <v>480</v>
      </c>
      <c r="B52" s="110" t="s">
        <v>481</v>
      </c>
      <c r="C52" s="110" t="s">
        <v>482</v>
      </c>
      <c r="D52" s="111" t="s">
        <v>560</v>
      </c>
      <c r="E52" s="110" t="s">
        <v>561</v>
      </c>
      <c r="F52" s="98" t="s">
        <v>572</v>
      </c>
      <c r="H52" s="69"/>
    </row>
    <row r="53">
      <c r="A53" s="112" t="s">
        <v>484</v>
      </c>
      <c r="B53" s="113" t="s">
        <v>485</v>
      </c>
      <c r="C53" s="2">
        <v>67.005</v>
      </c>
      <c r="D53" s="114">
        <v>0.6725</v>
      </c>
      <c r="E53" s="115">
        <f>D53*B10</f>
        <v>6.0525</v>
      </c>
      <c r="F53" s="116" t="s">
        <v>573</v>
      </c>
      <c r="H53" s="69"/>
    </row>
    <row r="54">
      <c r="A54" s="117" t="s">
        <v>486</v>
      </c>
      <c r="B54" s="113" t="s">
        <v>487</v>
      </c>
      <c r="C54" s="2">
        <v>10.5</v>
      </c>
      <c r="D54" s="118">
        <v>0.105</v>
      </c>
      <c r="E54" s="115">
        <f>D54*B17</f>
        <v>26.25</v>
      </c>
      <c r="F54" s="119"/>
      <c r="H54" s="69"/>
    </row>
    <row r="55">
      <c r="A55" s="120" t="s">
        <v>488</v>
      </c>
      <c r="B55" s="113" t="s">
        <v>489</v>
      </c>
      <c r="C55" s="2">
        <v>19.5</v>
      </c>
      <c r="D55" s="118">
        <v>0.195</v>
      </c>
      <c r="E55" s="115">
        <f>D55*B4</f>
        <v>3.51</v>
      </c>
      <c r="F55" s="119"/>
      <c r="H55" s="69"/>
    </row>
    <row r="56">
      <c r="A56" s="121"/>
      <c r="B56" s="113" t="s">
        <v>490</v>
      </c>
      <c r="C56" s="2">
        <v>2.0</v>
      </c>
      <c r="D56" s="118">
        <v>0.02</v>
      </c>
      <c r="E56" s="115">
        <f>D56*C14</f>
        <v>0.22</v>
      </c>
      <c r="F56" s="119"/>
      <c r="H56" s="69"/>
    </row>
    <row r="57">
      <c r="A57" s="121"/>
      <c r="B57" s="113" t="s">
        <v>568</v>
      </c>
      <c r="C57" s="2">
        <v>0.75</v>
      </c>
      <c r="D57" s="114">
        <v>0.0075</v>
      </c>
      <c r="E57" s="115">
        <f>D57*B21</f>
        <v>0.0225</v>
      </c>
      <c r="F57" s="106"/>
      <c r="H57" s="69"/>
    </row>
    <row r="58">
      <c r="A58" s="121"/>
      <c r="B58" s="113" t="s">
        <v>574</v>
      </c>
      <c r="C58" s="2">
        <v>0.03</v>
      </c>
      <c r="D58" s="122" t="s">
        <v>137</v>
      </c>
      <c r="E58" s="2">
        <v>0.0</v>
      </c>
      <c r="F58" s="106" t="s">
        <v>570</v>
      </c>
      <c r="H58" s="69"/>
    </row>
    <row r="59">
      <c r="A59" s="121"/>
      <c r="B59" s="113" t="s">
        <v>575</v>
      </c>
      <c r="C59" s="2">
        <v>0.1</v>
      </c>
      <c r="D59" s="122" t="s">
        <v>137</v>
      </c>
      <c r="E59" s="2">
        <v>0.0</v>
      </c>
      <c r="F59" s="106" t="s">
        <v>570</v>
      </c>
      <c r="H59" s="69"/>
    </row>
    <row r="60">
      <c r="A60" s="121"/>
      <c r="B60" s="113" t="s">
        <v>576</v>
      </c>
      <c r="C60" s="2">
        <v>0.045</v>
      </c>
      <c r="D60" s="122" t="s">
        <v>137</v>
      </c>
      <c r="E60" s="2">
        <v>0.0</v>
      </c>
      <c r="F60" s="106" t="s">
        <v>570</v>
      </c>
      <c r="H60" s="69"/>
    </row>
    <row r="61">
      <c r="A61" s="121"/>
      <c r="B61" s="113" t="s">
        <v>569</v>
      </c>
      <c r="C61" s="2">
        <v>0.07</v>
      </c>
      <c r="D61" s="122" t="s">
        <v>137</v>
      </c>
      <c r="E61" s="2">
        <v>0.0</v>
      </c>
      <c r="F61" s="106" t="s">
        <v>570</v>
      </c>
      <c r="H61" s="69"/>
    </row>
    <row r="62">
      <c r="A62" s="121"/>
      <c r="B62" s="123"/>
      <c r="C62" s="115"/>
      <c r="D62" s="124" t="s">
        <v>571</v>
      </c>
      <c r="E62" s="125">
        <f>SUM(E53:E57)</f>
        <v>36.055</v>
      </c>
      <c r="F62" s="119"/>
      <c r="H62" s="69"/>
    </row>
    <row r="63">
      <c r="A63" s="69"/>
      <c r="B63" s="126"/>
      <c r="D63" s="90"/>
      <c r="F63" s="119"/>
      <c r="H63" s="69"/>
    </row>
    <row r="64">
      <c r="A64" s="127" t="s">
        <v>577</v>
      </c>
      <c r="B64" s="128" t="s">
        <v>481</v>
      </c>
      <c r="C64" s="70" t="s">
        <v>482</v>
      </c>
      <c r="D64" s="129" t="s">
        <v>560</v>
      </c>
      <c r="E64" s="70" t="s">
        <v>561</v>
      </c>
      <c r="F64" s="22" t="s">
        <v>578</v>
      </c>
      <c r="H64" s="69"/>
    </row>
    <row r="65">
      <c r="A65" s="28" t="s">
        <v>579</v>
      </c>
      <c r="B65" s="29" t="s">
        <v>485</v>
      </c>
      <c r="C65" s="3">
        <v>99.08</v>
      </c>
      <c r="D65" s="130">
        <v>0.994</v>
      </c>
      <c r="E65" s="13">
        <f>D65*B10</f>
        <v>8.946</v>
      </c>
      <c r="F65" s="66" t="s">
        <v>580</v>
      </c>
      <c r="H65" s="69"/>
    </row>
    <row r="66">
      <c r="A66" s="131" t="s">
        <v>581</v>
      </c>
      <c r="B66" s="29" t="s">
        <v>490</v>
      </c>
      <c r="C66" s="3">
        <v>0.6</v>
      </c>
      <c r="D66" s="130">
        <v>0.006</v>
      </c>
      <c r="E66" s="13">
        <f>D66*C14</f>
        <v>0.066</v>
      </c>
      <c r="F66" s="119"/>
      <c r="H66" s="69"/>
    </row>
    <row r="67">
      <c r="A67" s="131" t="s">
        <v>582</v>
      </c>
      <c r="B67" s="29" t="s">
        <v>576</v>
      </c>
      <c r="C67" s="3">
        <v>0.04</v>
      </c>
      <c r="D67" s="132" t="s">
        <v>137</v>
      </c>
      <c r="E67" s="3">
        <v>0.0</v>
      </c>
      <c r="F67" s="106" t="s">
        <v>570</v>
      </c>
      <c r="H67" s="69"/>
    </row>
    <row r="68">
      <c r="A68" s="13"/>
      <c r="B68" s="29" t="s">
        <v>574</v>
      </c>
      <c r="C68" s="3">
        <v>0.05</v>
      </c>
      <c r="D68" s="132" t="s">
        <v>137</v>
      </c>
      <c r="E68" s="3">
        <v>0.0</v>
      </c>
      <c r="F68" s="106" t="s">
        <v>570</v>
      </c>
      <c r="H68" s="69"/>
    </row>
    <row r="69">
      <c r="A69" s="13"/>
      <c r="B69" s="29" t="s">
        <v>569</v>
      </c>
      <c r="C69" s="3">
        <v>0.23</v>
      </c>
      <c r="D69" s="133" t="s">
        <v>137</v>
      </c>
      <c r="E69" s="3">
        <v>0.0</v>
      </c>
      <c r="F69" s="106" t="s">
        <v>570</v>
      </c>
      <c r="H69" s="69"/>
    </row>
    <row r="70">
      <c r="A70" s="13"/>
      <c r="B70" s="134"/>
      <c r="C70" s="13"/>
      <c r="D70" s="135" t="s">
        <v>571</v>
      </c>
      <c r="E70" s="72">
        <f>SUM(E65:E66)</f>
        <v>9.012</v>
      </c>
      <c r="F70" s="119"/>
      <c r="H70" s="69"/>
    </row>
    <row r="71">
      <c r="B71" s="126"/>
      <c r="D71" s="90"/>
      <c r="F71" s="119"/>
      <c r="H71" s="69"/>
    </row>
    <row r="72">
      <c r="A72" s="100" t="s">
        <v>583</v>
      </c>
      <c r="B72" s="136" t="s">
        <v>584</v>
      </c>
      <c r="C72" s="100" t="s">
        <v>482</v>
      </c>
      <c r="D72" s="101" t="s">
        <v>560</v>
      </c>
      <c r="E72" s="100" t="s">
        <v>561</v>
      </c>
      <c r="F72" s="106"/>
      <c r="H72" s="69"/>
    </row>
    <row r="73">
      <c r="A73" s="102" t="s">
        <v>585</v>
      </c>
      <c r="B73" s="137" t="s">
        <v>586</v>
      </c>
      <c r="C73" s="102">
        <v>83.34</v>
      </c>
      <c r="D73" s="138">
        <v>0.8334</v>
      </c>
      <c r="E73" s="103">
        <f t="shared" ref="E73:E74" si="1">D73*C30</f>
        <v>2.5002</v>
      </c>
      <c r="F73" s="106"/>
      <c r="H73" s="69"/>
    </row>
    <row r="74">
      <c r="A74" s="102" t="s">
        <v>587</v>
      </c>
      <c r="B74" s="137" t="s">
        <v>588</v>
      </c>
      <c r="C74" s="103">
        <v>10.4958</v>
      </c>
      <c r="D74" s="138">
        <v>0.104958</v>
      </c>
      <c r="E74" s="103">
        <f t="shared" si="1"/>
        <v>0.7137144</v>
      </c>
      <c r="F74" s="119"/>
      <c r="H74" s="69"/>
    </row>
    <row r="75">
      <c r="A75" s="102" t="s">
        <v>589</v>
      </c>
      <c r="B75" s="137" t="s">
        <v>590</v>
      </c>
      <c r="C75" s="103">
        <v>3.332</v>
      </c>
      <c r="D75" s="138">
        <v>0.0332</v>
      </c>
      <c r="E75" s="103">
        <f>D75*B21</f>
        <v>0.0996</v>
      </c>
      <c r="F75" s="119"/>
      <c r="H75" s="69"/>
    </row>
    <row r="76">
      <c r="A76" s="104" t="s">
        <v>591</v>
      </c>
      <c r="B76" s="137" t="s">
        <v>592</v>
      </c>
      <c r="C76" s="103">
        <v>0.833</v>
      </c>
      <c r="D76" s="138">
        <v>0.00833</v>
      </c>
      <c r="E76" s="103">
        <f>D76*B2</f>
        <v>0.05831</v>
      </c>
      <c r="F76" s="106"/>
      <c r="H76" s="69"/>
    </row>
    <row r="77">
      <c r="A77" s="139" t="s">
        <v>593</v>
      </c>
      <c r="B77" s="137" t="s">
        <v>594</v>
      </c>
      <c r="C77" s="103">
        <v>0.3332</v>
      </c>
      <c r="D77" s="138">
        <v>0.003332</v>
      </c>
      <c r="E77" s="140">
        <f>D77*B10</f>
        <v>0.029988</v>
      </c>
      <c r="F77" s="106"/>
      <c r="H77" s="69"/>
    </row>
    <row r="78">
      <c r="A78" s="139" t="s">
        <v>595</v>
      </c>
      <c r="B78" s="137" t="s">
        <v>596</v>
      </c>
      <c r="C78" s="103">
        <v>0.3332</v>
      </c>
      <c r="D78" s="138">
        <v>0.003332</v>
      </c>
      <c r="E78" s="141">
        <f>D78*B13</f>
        <v>0.03332</v>
      </c>
      <c r="F78" s="106"/>
      <c r="H78" s="69"/>
    </row>
    <row r="79">
      <c r="A79" s="139" t="s">
        <v>597</v>
      </c>
      <c r="B79" s="137" t="s">
        <v>598</v>
      </c>
      <c r="C79" s="103">
        <v>0.833</v>
      </c>
      <c r="D79" s="138">
        <v>0.00833</v>
      </c>
      <c r="E79" s="142">
        <f>D79*C32</f>
        <v>0.02603125</v>
      </c>
      <c r="H79" s="69"/>
    </row>
    <row r="80">
      <c r="A80" s="139" t="s">
        <v>599</v>
      </c>
      <c r="B80" s="137" t="s">
        <v>600</v>
      </c>
      <c r="C80" s="103">
        <v>0.4165</v>
      </c>
      <c r="D80" s="143" t="s">
        <v>137</v>
      </c>
      <c r="E80" s="137">
        <v>0.0</v>
      </c>
      <c r="F80" s="106" t="s">
        <v>601</v>
      </c>
      <c r="H80" s="69"/>
    </row>
    <row r="81">
      <c r="A81" s="139" t="s">
        <v>602</v>
      </c>
      <c r="B81" s="137" t="s">
        <v>603</v>
      </c>
      <c r="C81" s="103">
        <v>0.0833</v>
      </c>
      <c r="D81" s="143" t="s">
        <v>137</v>
      </c>
      <c r="E81" s="137">
        <v>0.0</v>
      </c>
      <c r="F81" s="106" t="s">
        <v>604</v>
      </c>
      <c r="H81" s="69"/>
    </row>
    <row r="82">
      <c r="A82" s="139" t="s">
        <v>605</v>
      </c>
      <c r="B82" s="137"/>
      <c r="C82" s="103"/>
      <c r="D82" s="144" t="s">
        <v>606</v>
      </c>
      <c r="E82" s="145">
        <f>(SUM(E73:E79))/(SUM(D73:D79))</f>
        <v>3.478969013</v>
      </c>
      <c r="F82" s="106"/>
      <c r="H82" s="69"/>
    </row>
    <row r="83">
      <c r="A83" s="139" t="s">
        <v>607</v>
      </c>
      <c r="B83" s="146"/>
      <c r="C83" s="147"/>
      <c r="D83" s="103"/>
      <c r="E83" s="146"/>
      <c r="H83" s="69"/>
    </row>
    <row r="84">
      <c r="A84" s="139" t="s">
        <v>608</v>
      </c>
      <c r="B84" s="146"/>
      <c r="C84" s="147"/>
      <c r="D84" s="103"/>
      <c r="E84" s="146"/>
      <c r="H84" s="69"/>
    </row>
    <row r="85">
      <c r="A85" s="104" t="s">
        <v>609</v>
      </c>
      <c r="B85" s="148"/>
      <c r="C85" s="103"/>
      <c r="D85" s="149"/>
      <c r="E85" s="103"/>
      <c r="F85" s="119"/>
      <c r="H85" s="69"/>
    </row>
    <row r="86">
      <c r="A86" s="139" t="s">
        <v>610</v>
      </c>
      <c r="B86" s="148"/>
      <c r="C86" s="103"/>
      <c r="D86" s="149"/>
      <c r="E86" s="103"/>
      <c r="F86" s="119"/>
      <c r="H86" s="69"/>
    </row>
    <row r="87">
      <c r="A87" s="139" t="s">
        <v>611</v>
      </c>
      <c r="B87" s="148"/>
      <c r="C87" s="103"/>
      <c r="D87" s="149"/>
      <c r="E87" s="103"/>
      <c r="F87" s="119"/>
      <c r="H87" s="69"/>
    </row>
    <row r="88">
      <c r="B88" s="126"/>
      <c r="D88" s="90"/>
      <c r="F88" s="119"/>
      <c r="H88" s="69"/>
    </row>
    <row r="89">
      <c r="A89" s="110" t="s">
        <v>612</v>
      </c>
      <c r="B89" s="150" t="s">
        <v>613</v>
      </c>
      <c r="C89" s="110" t="s">
        <v>482</v>
      </c>
      <c r="D89" s="111" t="s">
        <v>560</v>
      </c>
      <c r="E89" s="110" t="s">
        <v>561</v>
      </c>
      <c r="F89" s="106" t="s">
        <v>614</v>
      </c>
      <c r="H89" s="69"/>
    </row>
    <row r="90">
      <c r="A90" s="120" t="s">
        <v>401</v>
      </c>
      <c r="B90" s="113" t="s">
        <v>590</v>
      </c>
      <c r="C90" s="2">
        <v>72.0</v>
      </c>
      <c r="D90" s="151">
        <v>0.72</v>
      </c>
      <c r="E90" s="115">
        <f>D90*B21</f>
        <v>2.16</v>
      </c>
      <c r="F90" s="106"/>
      <c r="H90" s="69"/>
    </row>
    <row r="91">
      <c r="A91" s="120" t="s">
        <v>615</v>
      </c>
      <c r="B91" s="113" t="s">
        <v>616</v>
      </c>
      <c r="C91" s="2">
        <v>14.0</v>
      </c>
      <c r="D91" s="152" t="s">
        <v>137</v>
      </c>
      <c r="E91" s="2">
        <v>0.0</v>
      </c>
      <c r="F91" s="106" t="s">
        <v>604</v>
      </c>
      <c r="H91" s="69"/>
    </row>
    <row r="92">
      <c r="A92" s="117" t="s">
        <v>617</v>
      </c>
      <c r="B92" s="113" t="s">
        <v>588</v>
      </c>
      <c r="C92" s="2">
        <v>8.0</v>
      </c>
      <c r="D92" s="151">
        <v>0.08</v>
      </c>
      <c r="E92" s="115">
        <f>D92*C31</f>
        <v>0.544</v>
      </c>
      <c r="F92" s="119"/>
      <c r="H92" s="69"/>
    </row>
    <row r="93">
      <c r="A93" s="153" t="s">
        <v>618</v>
      </c>
      <c r="B93" s="113" t="s">
        <v>596</v>
      </c>
      <c r="C93" s="2">
        <v>3.0</v>
      </c>
      <c r="D93" s="151">
        <v>0.03</v>
      </c>
      <c r="E93" s="115">
        <f>D93*B13</f>
        <v>0.3</v>
      </c>
      <c r="F93" s="106"/>
      <c r="H93" s="69"/>
    </row>
    <row r="94">
      <c r="A94" s="153" t="s">
        <v>619</v>
      </c>
      <c r="B94" s="113" t="s">
        <v>592</v>
      </c>
      <c r="C94" s="2">
        <v>2.0</v>
      </c>
      <c r="D94" s="151">
        <v>0.02</v>
      </c>
      <c r="E94" s="115">
        <f>D94*B2</f>
        <v>0.14</v>
      </c>
      <c r="F94" s="106"/>
      <c r="H94" s="69"/>
    </row>
    <row r="95">
      <c r="A95" s="153" t="s">
        <v>620</v>
      </c>
      <c r="B95" s="113" t="s">
        <v>621</v>
      </c>
      <c r="C95" s="2">
        <v>1.0</v>
      </c>
      <c r="D95" s="152" t="s">
        <v>137</v>
      </c>
      <c r="E95" s="2">
        <v>0.0</v>
      </c>
      <c r="F95" s="106" t="s">
        <v>570</v>
      </c>
      <c r="H95" s="69"/>
    </row>
    <row r="96">
      <c r="A96" s="115"/>
      <c r="B96" s="123"/>
      <c r="C96" s="115"/>
      <c r="D96" s="124" t="s">
        <v>571</v>
      </c>
      <c r="E96" s="154">
        <f>(SUM(E90:E94))/(SUM(D90,D92,D93,D94))</f>
        <v>3.698823529</v>
      </c>
      <c r="F96" s="69"/>
      <c r="H96" s="69"/>
    </row>
    <row r="97">
      <c r="A97" s="22"/>
      <c r="B97" s="155"/>
      <c r="C97" s="22"/>
      <c r="D97" s="90"/>
      <c r="E97" s="90"/>
      <c r="F97" s="90"/>
      <c r="I97" s="69"/>
    </row>
    <row r="98">
      <c r="B98" s="64"/>
      <c r="D98" s="90"/>
      <c r="E98" s="90"/>
      <c r="F98" s="90"/>
      <c r="I98" s="69"/>
    </row>
    <row r="99">
      <c r="B99" s="64"/>
      <c r="D99" s="90"/>
      <c r="E99" s="90"/>
      <c r="F99" s="90"/>
      <c r="I99" s="69"/>
    </row>
    <row r="100">
      <c r="B100" s="64"/>
      <c r="D100" s="90"/>
      <c r="E100" s="90"/>
      <c r="F100" s="90"/>
      <c r="I100" s="69"/>
    </row>
    <row r="101">
      <c r="B101" s="64"/>
      <c r="D101" s="90"/>
      <c r="E101" s="90"/>
      <c r="F101" s="90"/>
      <c r="I101" s="69"/>
    </row>
    <row r="102">
      <c r="B102" s="64"/>
      <c r="D102" s="90"/>
      <c r="E102" s="90"/>
      <c r="F102" s="90"/>
      <c r="I102" s="69"/>
    </row>
    <row r="103">
      <c r="B103" s="126"/>
      <c r="D103" s="90"/>
      <c r="E103" s="90"/>
      <c r="F103" s="90"/>
      <c r="I103" s="69"/>
    </row>
    <row r="104">
      <c r="B104" s="126"/>
      <c r="D104" s="90"/>
      <c r="E104" s="90"/>
      <c r="F104" s="90"/>
      <c r="I104" s="69"/>
    </row>
    <row r="105">
      <c r="B105" s="126"/>
      <c r="D105" s="90"/>
      <c r="E105" s="90"/>
      <c r="F105" s="90"/>
      <c r="I105" s="69"/>
    </row>
    <row r="106">
      <c r="A106" s="4"/>
      <c r="B106" s="126"/>
      <c r="D106" s="90"/>
      <c r="E106" s="90"/>
      <c r="F106" s="90"/>
      <c r="I106" s="69"/>
    </row>
    <row r="107">
      <c r="B107" s="126"/>
      <c r="D107" s="90"/>
      <c r="E107" s="90"/>
      <c r="F107" s="90"/>
      <c r="I107" s="69"/>
    </row>
    <row r="108">
      <c r="B108" s="126"/>
      <c r="D108" s="90"/>
      <c r="E108" s="90"/>
      <c r="F108" s="90"/>
      <c r="I108" s="69"/>
    </row>
    <row r="109">
      <c r="B109" s="126"/>
      <c r="D109" s="90"/>
      <c r="E109" s="90"/>
      <c r="F109" s="90"/>
      <c r="I109" s="69"/>
    </row>
    <row r="110">
      <c r="B110" s="126"/>
      <c r="D110" s="90"/>
      <c r="E110" s="90"/>
      <c r="F110" s="90"/>
      <c r="I110" s="69"/>
    </row>
    <row r="111">
      <c r="B111" s="126"/>
      <c r="D111" s="90"/>
      <c r="E111" s="90"/>
      <c r="F111" s="90"/>
      <c r="I111" s="69"/>
    </row>
    <row r="112">
      <c r="B112" s="126"/>
      <c r="D112" s="90"/>
      <c r="E112" s="90"/>
      <c r="F112" s="90"/>
      <c r="I112" s="69"/>
    </row>
    <row r="113">
      <c r="B113" s="126"/>
      <c r="D113" s="90"/>
      <c r="E113" s="90"/>
      <c r="F113" s="90"/>
      <c r="I113" s="69"/>
    </row>
    <row r="114">
      <c r="B114" s="126"/>
      <c r="D114" s="90"/>
      <c r="E114" s="90"/>
      <c r="F114" s="90"/>
      <c r="I114" s="69"/>
    </row>
    <row r="115">
      <c r="B115" s="126"/>
      <c r="D115" s="90"/>
      <c r="E115" s="90"/>
      <c r="F115" s="90"/>
      <c r="I115" s="69"/>
    </row>
    <row r="116">
      <c r="B116" s="126"/>
      <c r="D116" s="90"/>
      <c r="E116" s="90"/>
      <c r="F116" s="90"/>
      <c r="I116" s="69"/>
    </row>
    <row r="117">
      <c r="B117" s="126"/>
      <c r="D117" s="90"/>
      <c r="E117" s="90"/>
      <c r="F117" s="90"/>
      <c r="I117" s="69"/>
    </row>
    <row r="118">
      <c r="B118" s="126"/>
      <c r="D118" s="90"/>
      <c r="E118" s="90"/>
      <c r="F118" s="90"/>
      <c r="I118" s="69"/>
    </row>
    <row r="119">
      <c r="B119" s="126"/>
      <c r="D119" s="90"/>
      <c r="E119" s="90"/>
      <c r="F119" s="90"/>
      <c r="I119" s="69"/>
    </row>
    <row r="120">
      <c r="B120" s="126"/>
      <c r="D120" s="90"/>
      <c r="E120" s="90"/>
      <c r="F120" s="90"/>
      <c r="I120" s="69"/>
    </row>
    <row r="121">
      <c r="B121" s="126"/>
      <c r="D121" s="90"/>
      <c r="E121" s="90"/>
      <c r="F121" s="90"/>
      <c r="I121" s="69"/>
    </row>
    <row r="122">
      <c r="B122" s="126"/>
      <c r="D122" s="90"/>
      <c r="E122" s="90"/>
      <c r="F122" s="90"/>
      <c r="I122" s="69"/>
    </row>
    <row r="123">
      <c r="B123" s="126"/>
      <c r="D123" s="90"/>
      <c r="E123" s="90"/>
      <c r="F123" s="90"/>
      <c r="I123" s="69"/>
    </row>
    <row r="124">
      <c r="B124" s="126"/>
      <c r="D124" s="90"/>
      <c r="E124" s="90"/>
      <c r="F124" s="90"/>
      <c r="I124" s="69"/>
    </row>
    <row r="125">
      <c r="B125" s="126"/>
      <c r="D125" s="90"/>
      <c r="E125" s="90"/>
      <c r="F125" s="90"/>
      <c r="I125" s="69"/>
    </row>
    <row r="126">
      <c r="B126" s="126"/>
      <c r="D126" s="90"/>
      <c r="E126" s="90"/>
      <c r="F126" s="90"/>
      <c r="I126" s="69"/>
    </row>
    <row r="127">
      <c r="B127" s="126"/>
      <c r="D127" s="90"/>
      <c r="E127" s="90"/>
      <c r="F127" s="90"/>
      <c r="I127" s="69"/>
    </row>
    <row r="128">
      <c r="B128" s="126"/>
      <c r="D128" s="90"/>
      <c r="E128" s="90"/>
      <c r="F128" s="90"/>
      <c r="I128" s="69"/>
    </row>
    <row r="129">
      <c r="B129" s="126"/>
      <c r="D129" s="90"/>
      <c r="E129" s="90"/>
      <c r="F129" s="90"/>
      <c r="I129" s="69"/>
    </row>
    <row r="130">
      <c r="B130" s="126"/>
      <c r="D130" s="90"/>
      <c r="E130" s="90"/>
      <c r="F130" s="90"/>
      <c r="I130" s="69"/>
    </row>
    <row r="131">
      <c r="B131" s="126"/>
      <c r="D131" s="90"/>
      <c r="E131" s="90"/>
      <c r="F131" s="90"/>
      <c r="I131" s="69"/>
    </row>
    <row r="132">
      <c r="B132" s="126"/>
      <c r="D132" s="90"/>
      <c r="E132" s="90"/>
      <c r="F132" s="90"/>
      <c r="I132" s="69"/>
    </row>
    <row r="133">
      <c r="B133" s="126"/>
      <c r="D133" s="90"/>
      <c r="E133" s="90"/>
      <c r="F133" s="90"/>
      <c r="I133" s="69"/>
    </row>
    <row r="134">
      <c r="B134" s="126"/>
      <c r="D134" s="90"/>
      <c r="E134" s="90"/>
      <c r="F134" s="90"/>
      <c r="I134" s="69"/>
    </row>
    <row r="135">
      <c r="B135" s="126"/>
      <c r="D135" s="90"/>
      <c r="E135" s="90"/>
      <c r="F135" s="90"/>
      <c r="I135" s="69"/>
    </row>
    <row r="136">
      <c r="B136" s="126"/>
      <c r="D136" s="90"/>
      <c r="E136" s="90"/>
      <c r="F136" s="90"/>
      <c r="I136" s="69"/>
    </row>
    <row r="137">
      <c r="B137" s="126"/>
      <c r="D137" s="90"/>
      <c r="E137" s="90"/>
      <c r="F137" s="90"/>
      <c r="I137" s="69"/>
    </row>
    <row r="138">
      <c r="B138" s="126"/>
      <c r="D138" s="90"/>
      <c r="E138" s="90"/>
      <c r="F138" s="90"/>
      <c r="I138" s="69"/>
    </row>
    <row r="139">
      <c r="B139" s="126"/>
      <c r="D139" s="90"/>
      <c r="E139" s="90"/>
      <c r="F139" s="90"/>
      <c r="I139" s="69"/>
    </row>
    <row r="140">
      <c r="B140" s="126"/>
      <c r="D140" s="90"/>
      <c r="E140" s="90"/>
      <c r="F140" s="90"/>
      <c r="I140" s="69"/>
    </row>
    <row r="141">
      <c r="B141" s="126"/>
      <c r="D141" s="90"/>
      <c r="E141" s="90"/>
      <c r="F141" s="90"/>
      <c r="I141" s="69"/>
    </row>
    <row r="142">
      <c r="B142" s="126"/>
      <c r="D142" s="90"/>
      <c r="E142" s="90"/>
      <c r="F142" s="90"/>
      <c r="I142" s="69"/>
    </row>
    <row r="143">
      <c r="B143" s="126"/>
      <c r="D143" s="90"/>
      <c r="E143" s="90"/>
      <c r="F143" s="90"/>
      <c r="I143" s="69"/>
    </row>
    <row r="144">
      <c r="B144" s="126"/>
      <c r="D144" s="90"/>
      <c r="E144" s="90"/>
      <c r="F144" s="90"/>
      <c r="I144" s="69"/>
    </row>
    <row r="145">
      <c r="B145" s="126"/>
      <c r="D145" s="90"/>
      <c r="E145" s="90"/>
      <c r="F145" s="90"/>
      <c r="I145" s="69"/>
    </row>
    <row r="146">
      <c r="B146" s="126"/>
      <c r="D146" s="90"/>
      <c r="E146" s="90"/>
      <c r="F146" s="90"/>
      <c r="I146" s="69"/>
    </row>
    <row r="147">
      <c r="B147" s="126"/>
      <c r="D147" s="90"/>
      <c r="E147" s="90"/>
      <c r="F147" s="90"/>
      <c r="I147" s="69"/>
    </row>
    <row r="148">
      <c r="B148" s="126"/>
      <c r="D148" s="90"/>
      <c r="E148" s="90"/>
      <c r="F148" s="90"/>
      <c r="I148" s="69"/>
    </row>
    <row r="149">
      <c r="B149" s="126"/>
      <c r="D149" s="90"/>
      <c r="E149" s="90"/>
      <c r="F149" s="90"/>
      <c r="I149" s="69"/>
    </row>
    <row r="150">
      <c r="B150" s="126"/>
      <c r="D150" s="90"/>
      <c r="E150" s="90"/>
      <c r="F150" s="90"/>
      <c r="I150" s="69"/>
    </row>
    <row r="151">
      <c r="B151" s="126"/>
      <c r="D151" s="90"/>
      <c r="E151" s="90"/>
      <c r="F151" s="90"/>
      <c r="I151" s="69"/>
    </row>
    <row r="152">
      <c r="B152" s="126"/>
      <c r="D152" s="90"/>
      <c r="E152" s="90"/>
      <c r="F152" s="90"/>
      <c r="I152" s="69"/>
    </row>
    <row r="153">
      <c r="B153" s="126"/>
      <c r="D153" s="90"/>
      <c r="E153" s="90"/>
      <c r="F153" s="90"/>
      <c r="I153" s="69"/>
    </row>
    <row r="154">
      <c r="B154" s="126"/>
      <c r="D154" s="90"/>
      <c r="E154" s="90"/>
      <c r="F154" s="90"/>
      <c r="I154" s="69"/>
    </row>
    <row r="155">
      <c r="B155" s="126"/>
      <c r="D155" s="90"/>
      <c r="E155" s="90"/>
      <c r="F155" s="90"/>
      <c r="I155" s="69"/>
    </row>
    <row r="156">
      <c r="B156" s="126"/>
      <c r="D156" s="90"/>
      <c r="E156" s="90"/>
      <c r="F156" s="90"/>
      <c r="I156" s="69"/>
    </row>
    <row r="157">
      <c r="B157" s="126"/>
      <c r="D157" s="90"/>
      <c r="E157" s="90"/>
      <c r="F157" s="90"/>
      <c r="I157" s="69"/>
    </row>
    <row r="158">
      <c r="B158" s="126"/>
      <c r="D158" s="90"/>
      <c r="E158" s="90"/>
      <c r="F158" s="90"/>
      <c r="I158" s="69"/>
    </row>
    <row r="159">
      <c r="B159" s="126"/>
      <c r="D159" s="90"/>
      <c r="E159" s="90"/>
      <c r="F159" s="90"/>
      <c r="I159" s="69"/>
    </row>
    <row r="160">
      <c r="B160" s="126"/>
      <c r="D160" s="90"/>
      <c r="E160" s="90"/>
      <c r="F160" s="90"/>
      <c r="I160" s="69"/>
    </row>
    <row r="161">
      <c r="B161" s="126"/>
      <c r="D161" s="90"/>
      <c r="E161" s="90"/>
      <c r="F161" s="90"/>
      <c r="I161" s="69"/>
    </row>
    <row r="162">
      <c r="B162" s="126"/>
      <c r="D162" s="90"/>
      <c r="E162" s="90"/>
      <c r="F162" s="90"/>
      <c r="I162" s="69"/>
    </row>
    <row r="163">
      <c r="B163" s="126"/>
      <c r="D163" s="90"/>
      <c r="E163" s="90"/>
      <c r="F163" s="90"/>
      <c r="I163" s="69"/>
    </row>
    <row r="164">
      <c r="B164" s="126"/>
      <c r="D164" s="90"/>
      <c r="E164" s="90"/>
      <c r="F164" s="90"/>
      <c r="I164" s="69"/>
    </row>
    <row r="165">
      <c r="B165" s="126"/>
      <c r="D165" s="90"/>
      <c r="E165" s="90"/>
      <c r="F165" s="90"/>
      <c r="I165" s="69"/>
    </row>
    <row r="166">
      <c r="B166" s="126"/>
      <c r="D166" s="90"/>
      <c r="E166" s="90"/>
      <c r="F166" s="90"/>
      <c r="I166" s="69"/>
    </row>
    <row r="167">
      <c r="B167" s="126"/>
      <c r="D167" s="90"/>
      <c r="E167" s="90"/>
      <c r="F167" s="90"/>
      <c r="I167" s="69"/>
    </row>
    <row r="168">
      <c r="B168" s="126"/>
      <c r="D168" s="90"/>
      <c r="E168" s="90"/>
      <c r="F168" s="90"/>
      <c r="I168" s="69"/>
    </row>
    <row r="169">
      <c r="B169" s="126"/>
      <c r="D169" s="90"/>
      <c r="E169" s="90"/>
      <c r="F169" s="90"/>
      <c r="I169" s="69"/>
    </row>
    <row r="170">
      <c r="B170" s="126"/>
      <c r="D170" s="90"/>
      <c r="E170" s="90"/>
      <c r="F170" s="90"/>
      <c r="I170" s="69"/>
    </row>
    <row r="171">
      <c r="B171" s="126"/>
      <c r="D171" s="90"/>
      <c r="E171" s="90"/>
      <c r="F171" s="90"/>
      <c r="I171" s="69"/>
    </row>
    <row r="172">
      <c r="B172" s="126"/>
      <c r="D172" s="90"/>
      <c r="E172" s="90"/>
      <c r="F172" s="90"/>
      <c r="I172" s="69"/>
    </row>
    <row r="173">
      <c r="B173" s="126"/>
      <c r="D173" s="90"/>
      <c r="E173" s="90"/>
      <c r="F173" s="90"/>
      <c r="I173" s="69"/>
    </row>
    <row r="174">
      <c r="B174" s="126"/>
      <c r="D174" s="90"/>
      <c r="E174" s="90"/>
      <c r="F174" s="90"/>
      <c r="I174" s="69"/>
    </row>
    <row r="175">
      <c r="B175" s="126"/>
      <c r="D175" s="90"/>
      <c r="E175" s="90"/>
      <c r="F175" s="90"/>
      <c r="I175" s="69"/>
    </row>
    <row r="176">
      <c r="B176" s="126"/>
      <c r="D176" s="90"/>
      <c r="E176" s="90"/>
      <c r="F176" s="90"/>
      <c r="I176" s="69"/>
    </row>
    <row r="177">
      <c r="B177" s="126"/>
      <c r="D177" s="90"/>
      <c r="E177" s="90"/>
      <c r="F177" s="90"/>
      <c r="I177" s="69"/>
    </row>
    <row r="178">
      <c r="B178" s="126"/>
      <c r="D178" s="90"/>
      <c r="E178" s="90"/>
      <c r="F178" s="90"/>
      <c r="I178" s="69"/>
    </row>
    <row r="179">
      <c r="B179" s="126"/>
      <c r="D179" s="90"/>
      <c r="E179" s="90"/>
      <c r="F179" s="90"/>
      <c r="I179" s="69"/>
    </row>
    <row r="180">
      <c r="B180" s="126"/>
      <c r="D180" s="90"/>
      <c r="E180" s="90"/>
      <c r="F180" s="90"/>
      <c r="I180" s="69"/>
    </row>
    <row r="181">
      <c r="B181" s="126"/>
      <c r="D181" s="90"/>
      <c r="E181" s="90"/>
      <c r="F181" s="90"/>
      <c r="I181" s="69"/>
    </row>
    <row r="182">
      <c r="B182" s="126"/>
      <c r="D182" s="90"/>
      <c r="E182" s="90"/>
      <c r="F182" s="90"/>
      <c r="I182" s="69"/>
    </row>
    <row r="183">
      <c r="B183" s="126"/>
      <c r="D183" s="90"/>
      <c r="E183" s="90"/>
      <c r="F183" s="90"/>
      <c r="I183" s="69"/>
    </row>
    <row r="184">
      <c r="B184" s="126"/>
      <c r="D184" s="90"/>
      <c r="E184" s="90"/>
      <c r="F184" s="90"/>
      <c r="I184" s="69"/>
    </row>
    <row r="185">
      <c r="B185" s="126"/>
      <c r="D185" s="90"/>
      <c r="E185" s="90"/>
      <c r="F185" s="90"/>
      <c r="I185" s="69"/>
    </row>
    <row r="186">
      <c r="B186" s="126"/>
      <c r="D186" s="90"/>
      <c r="E186" s="90"/>
      <c r="F186" s="90"/>
      <c r="I186" s="69"/>
    </row>
    <row r="187">
      <c r="B187" s="126"/>
      <c r="D187" s="90"/>
      <c r="E187" s="90"/>
      <c r="F187" s="90"/>
      <c r="I187" s="69"/>
    </row>
    <row r="188">
      <c r="B188" s="126"/>
      <c r="D188" s="90"/>
      <c r="E188" s="90"/>
      <c r="F188" s="90"/>
      <c r="I188" s="69"/>
    </row>
    <row r="189">
      <c r="B189" s="126"/>
      <c r="D189" s="90"/>
      <c r="E189" s="90"/>
      <c r="F189" s="90"/>
      <c r="I189" s="69"/>
    </row>
    <row r="190">
      <c r="B190" s="126"/>
      <c r="D190" s="90"/>
      <c r="E190" s="90"/>
      <c r="F190" s="90"/>
      <c r="I190" s="69"/>
    </row>
    <row r="191">
      <c r="B191" s="126"/>
      <c r="D191" s="90"/>
      <c r="E191" s="90"/>
      <c r="F191" s="90"/>
      <c r="I191" s="69"/>
    </row>
    <row r="192">
      <c r="B192" s="126"/>
      <c r="D192" s="90"/>
      <c r="E192" s="90"/>
      <c r="F192" s="90"/>
      <c r="I192" s="69"/>
    </row>
    <row r="193">
      <c r="B193" s="126"/>
      <c r="D193" s="90"/>
      <c r="E193" s="90"/>
      <c r="F193" s="90"/>
      <c r="I193" s="69"/>
    </row>
    <row r="194">
      <c r="B194" s="126"/>
      <c r="D194" s="90"/>
      <c r="E194" s="90"/>
      <c r="F194" s="90"/>
      <c r="I194" s="69"/>
    </row>
    <row r="195">
      <c r="B195" s="126"/>
      <c r="D195" s="90"/>
      <c r="E195" s="90"/>
      <c r="F195" s="90"/>
      <c r="I195" s="69"/>
    </row>
    <row r="196">
      <c r="B196" s="126"/>
      <c r="D196" s="90"/>
      <c r="E196" s="90"/>
      <c r="F196" s="90"/>
      <c r="I196" s="69"/>
    </row>
    <row r="197">
      <c r="B197" s="126"/>
      <c r="D197" s="90"/>
      <c r="E197" s="90"/>
      <c r="F197" s="90"/>
      <c r="I197" s="69"/>
    </row>
    <row r="198">
      <c r="B198" s="126"/>
      <c r="D198" s="90"/>
      <c r="E198" s="90"/>
      <c r="F198" s="90"/>
      <c r="I198" s="69"/>
    </row>
    <row r="199">
      <c r="B199" s="126"/>
      <c r="D199" s="90"/>
      <c r="E199" s="90"/>
      <c r="F199" s="90"/>
      <c r="I199" s="69"/>
    </row>
    <row r="200">
      <c r="B200" s="126"/>
      <c r="D200" s="90"/>
      <c r="E200" s="90"/>
      <c r="F200" s="90"/>
      <c r="I200" s="69"/>
    </row>
    <row r="201">
      <c r="B201" s="126"/>
      <c r="D201" s="90"/>
      <c r="E201" s="90"/>
      <c r="F201" s="90"/>
      <c r="I201" s="69"/>
    </row>
    <row r="202">
      <c r="B202" s="126"/>
      <c r="D202" s="90"/>
      <c r="E202" s="90"/>
      <c r="F202" s="90"/>
      <c r="I202" s="69"/>
    </row>
    <row r="203">
      <c r="B203" s="126"/>
      <c r="D203" s="90"/>
      <c r="E203" s="90"/>
      <c r="F203" s="90"/>
      <c r="I203" s="69"/>
    </row>
    <row r="204">
      <c r="B204" s="126"/>
      <c r="D204" s="90"/>
      <c r="E204" s="90"/>
      <c r="F204" s="90"/>
      <c r="I204" s="69"/>
    </row>
    <row r="205">
      <c r="B205" s="126"/>
      <c r="D205" s="90"/>
      <c r="E205" s="90"/>
      <c r="F205" s="90"/>
      <c r="I205" s="69"/>
    </row>
    <row r="206">
      <c r="B206" s="126"/>
      <c r="D206" s="90"/>
      <c r="E206" s="90"/>
      <c r="F206" s="90"/>
      <c r="I206" s="69"/>
    </row>
    <row r="207">
      <c r="B207" s="126"/>
      <c r="D207" s="90"/>
      <c r="E207" s="90"/>
      <c r="F207" s="90"/>
      <c r="I207" s="69"/>
    </row>
    <row r="208">
      <c r="B208" s="126"/>
      <c r="D208" s="90"/>
      <c r="E208" s="90"/>
      <c r="F208" s="90"/>
      <c r="I208" s="69"/>
    </row>
    <row r="209">
      <c r="B209" s="126"/>
      <c r="D209" s="90"/>
      <c r="E209" s="90"/>
      <c r="F209" s="90"/>
      <c r="I209" s="69"/>
    </row>
    <row r="210">
      <c r="B210" s="126"/>
      <c r="D210" s="90"/>
      <c r="E210" s="90"/>
      <c r="F210" s="90"/>
      <c r="I210" s="69"/>
    </row>
    <row r="211">
      <c r="B211" s="126"/>
      <c r="D211" s="90"/>
      <c r="E211" s="90"/>
      <c r="F211" s="90"/>
      <c r="I211" s="69"/>
    </row>
    <row r="212">
      <c r="B212" s="126"/>
      <c r="D212" s="90"/>
      <c r="E212" s="90"/>
      <c r="F212" s="90"/>
      <c r="I212" s="69"/>
    </row>
    <row r="213">
      <c r="B213" s="126"/>
      <c r="D213" s="90"/>
      <c r="E213" s="90"/>
      <c r="F213" s="90"/>
      <c r="I213" s="69"/>
    </row>
    <row r="214">
      <c r="B214" s="126"/>
      <c r="D214" s="90"/>
      <c r="E214" s="90"/>
      <c r="F214" s="90"/>
      <c r="I214" s="69"/>
    </row>
    <row r="215">
      <c r="B215" s="126"/>
      <c r="D215" s="90"/>
      <c r="E215" s="90"/>
      <c r="F215" s="90"/>
      <c r="I215" s="69"/>
    </row>
    <row r="216">
      <c r="B216" s="126"/>
      <c r="D216" s="90"/>
      <c r="E216" s="90"/>
      <c r="F216" s="90"/>
      <c r="I216" s="69"/>
    </row>
    <row r="217">
      <c r="B217" s="126"/>
      <c r="D217" s="90"/>
      <c r="E217" s="90"/>
      <c r="F217" s="90"/>
      <c r="I217" s="69"/>
    </row>
    <row r="218">
      <c r="B218" s="126"/>
      <c r="D218" s="90"/>
      <c r="E218" s="90"/>
      <c r="F218" s="90"/>
      <c r="I218" s="69"/>
    </row>
    <row r="219">
      <c r="B219" s="126"/>
      <c r="D219" s="90"/>
      <c r="E219" s="90"/>
      <c r="F219" s="90"/>
      <c r="I219" s="69"/>
    </row>
    <row r="220">
      <c r="B220" s="126"/>
      <c r="D220" s="90"/>
      <c r="E220" s="90"/>
      <c r="F220" s="90"/>
      <c r="I220" s="69"/>
    </row>
    <row r="221">
      <c r="B221" s="126"/>
      <c r="D221" s="90"/>
      <c r="E221" s="90"/>
      <c r="F221" s="90"/>
      <c r="I221" s="69"/>
    </row>
    <row r="222">
      <c r="B222" s="126"/>
      <c r="D222" s="90"/>
      <c r="E222" s="90"/>
      <c r="F222" s="90"/>
      <c r="I222" s="69"/>
    </row>
    <row r="223">
      <c r="B223" s="126"/>
      <c r="D223" s="90"/>
      <c r="E223" s="90"/>
      <c r="F223" s="90"/>
      <c r="I223" s="69"/>
    </row>
    <row r="224">
      <c r="B224" s="126"/>
      <c r="D224" s="90"/>
      <c r="E224" s="90"/>
      <c r="F224" s="90"/>
      <c r="I224" s="69"/>
    </row>
    <row r="225">
      <c r="B225" s="126"/>
      <c r="D225" s="90"/>
      <c r="E225" s="90"/>
      <c r="F225" s="90"/>
      <c r="I225" s="69"/>
    </row>
    <row r="226">
      <c r="B226" s="126"/>
      <c r="D226" s="90"/>
      <c r="E226" s="90"/>
      <c r="F226" s="90"/>
      <c r="I226" s="69"/>
    </row>
    <row r="227">
      <c r="B227" s="126"/>
      <c r="D227" s="90"/>
      <c r="E227" s="90"/>
      <c r="F227" s="90"/>
      <c r="I227" s="69"/>
    </row>
    <row r="228">
      <c r="B228" s="126"/>
      <c r="D228" s="90"/>
      <c r="E228" s="90"/>
      <c r="F228" s="90"/>
      <c r="I228" s="69"/>
    </row>
    <row r="229">
      <c r="B229" s="126"/>
      <c r="D229" s="90"/>
      <c r="E229" s="90"/>
      <c r="F229" s="90"/>
      <c r="I229" s="69"/>
    </row>
    <row r="230">
      <c r="B230" s="126"/>
      <c r="D230" s="90"/>
      <c r="E230" s="90"/>
      <c r="F230" s="90"/>
      <c r="I230" s="69"/>
    </row>
    <row r="231">
      <c r="B231" s="126"/>
      <c r="D231" s="90"/>
      <c r="E231" s="90"/>
      <c r="F231" s="90"/>
      <c r="I231" s="69"/>
    </row>
    <row r="232">
      <c r="B232" s="126"/>
      <c r="D232" s="90"/>
      <c r="E232" s="90"/>
      <c r="F232" s="90"/>
      <c r="I232" s="69"/>
    </row>
    <row r="233">
      <c r="B233" s="126"/>
      <c r="D233" s="90"/>
      <c r="E233" s="90"/>
      <c r="F233" s="90"/>
      <c r="I233" s="69"/>
    </row>
    <row r="234">
      <c r="B234" s="126"/>
      <c r="D234" s="90"/>
      <c r="E234" s="90"/>
      <c r="F234" s="90"/>
      <c r="I234" s="69"/>
    </row>
    <row r="235">
      <c r="B235" s="126"/>
      <c r="D235" s="90"/>
      <c r="E235" s="90"/>
      <c r="F235" s="90"/>
      <c r="I235" s="69"/>
    </row>
    <row r="236">
      <c r="B236" s="126"/>
      <c r="D236" s="90"/>
      <c r="E236" s="90"/>
      <c r="F236" s="90"/>
      <c r="I236" s="69"/>
    </row>
    <row r="237">
      <c r="B237" s="126"/>
      <c r="D237" s="90"/>
      <c r="E237" s="90"/>
      <c r="F237" s="90"/>
      <c r="I237" s="69"/>
    </row>
    <row r="238">
      <c r="B238" s="126"/>
      <c r="D238" s="90"/>
      <c r="E238" s="90"/>
      <c r="F238" s="90"/>
      <c r="I238" s="69"/>
    </row>
    <row r="239">
      <c r="B239" s="126"/>
      <c r="D239" s="90"/>
      <c r="E239" s="90"/>
      <c r="F239" s="90"/>
      <c r="I239" s="69"/>
    </row>
    <row r="240">
      <c r="B240" s="126"/>
      <c r="D240" s="90"/>
      <c r="E240" s="90"/>
      <c r="F240" s="90"/>
      <c r="I240" s="69"/>
    </row>
    <row r="241">
      <c r="B241" s="126"/>
      <c r="D241" s="90"/>
      <c r="E241" s="90"/>
      <c r="F241" s="90"/>
      <c r="I241" s="69"/>
    </row>
    <row r="242">
      <c r="B242" s="126"/>
      <c r="D242" s="90"/>
      <c r="E242" s="90"/>
      <c r="F242" s="90"/>
      <c r="I242" s="69"/>
    </row>
    <row r="243">
      <c r="B243" s="126"/>
      <c r="D243" s="90"/>
      <c r="E243" s="90"/>
      <c r="F243" s="90"/>
      <c r="I243" s="69"/>
    </row>
    <row r="244">
      <c r="B244" s="126"/>
      <c r="D244" s="90"/>
      <c r="E244" s="90"/>
      <c r="F244" s="90"/>
      <c r="I244" s="69"/>
    </row>
    <row r="245">
      <c r="B245" s="126"/>
      <c r="D245" s="90"/>
      <c r="E245" s="90"/>
      <c r="F245" s="90"/>
      <c r="I245" s="69"/>
    </row>
    <row r="246">
      <c r="B246" s="126"/>
      <c r="D246" s="90"/>
      <c r="E246" s="90"/>
      <c r="F246" s="90"/>
      <c r="I246" s="69"/>
    </row>
    <row r="247">
      <c r="B247" s="126"/>
      <c r="D247" s="90"/>
      <c r="E247" s="90"/>
      <c r="F247" s="90"/>
      <c r="I247" s="69"/>
    </row>
    <row r="248">
      <c r="B248" s="126"/>
      <c r="D248" s="90"/>
      <c r="E248" s="90"/>
      <c r="F248" s="90"/>
      <c r="I248" s="69"/>
    </row>
    <row r="249">
      <c r="B249" s="126"/>
      <c r="D249" s="90"/>
      <c r="E249" s="90"/>
      <c r="F249" s="90"/>
      <c r="I249" s="69"/>
    </row>
    <row r="250">
      <c r="B250" s="126"/>
      <c r="D250" s="90"/>
      <c r="E250" s="90"/>
      <c r="F250" s="90"/>
      <c r="I250" s="69"/>
    </row>
    <row r="251">
      <c r="B251" s="126"/>
      <c r="D251" s="90"/>
      <c r="E251" s="90"/>
      <c r="F251" s="90"/>
      <c r="I251" s="69"/>
    </row>
    <row r="252">
      <c r="B252" s="126"/>
      <c r="D252" s="90"/>
      <c r="E252" s="90"/>
      <c r="F252" s="90"/>
      <c r="I252" s="69"/>
    </row>
    <row r="253">
      <c r="B253" s="126"/>
      <c r="D253" s="90"/>
      <c r="E253" s="90"/>
      <c r="F253" s="90"/>
      <c r="I253" s="69"/>
    </row>
    <row r="254">
      <c r="B254" s="126"/>
      <c r="D254" s="90"/>
      <c r="E254" s="90"/>
      <c r="F254" s="90"/>
      <c r="I254" s="69"/>
    </row>
    <row r="255">
      <c r="B255" s="126"/>
      <c r="D255" s="90"/>
      <c r="E255" s="90"/>
      <c r="F255" s="90"/>
      <c r="I255" s="69"/>
    </row>
    <row r="256">
      <c r="B256" s="126"/>
      <c r="D256" s="90"/>
      <c r="E256" s="90"/>
      <c r="F256" s="90"/>
      <c r="I256" s="69"/>
    </row>
    <row r="257">
      <c r="B257" s="126"/>
      <c r="D257" s="90"/>
      <c r="E257" s="90"/>
      <c r="F257" s="90"/>
      <c r="I257" s="69"/>
    </row>
    <row r="258">
      <c r="B258" s="126"/>
      <c r="D258" s="90"/>
      <c r="E258" s="90"/>
      <c r="F258" s="90"/>
      <c r="I258" s="69"/>
    </row>
    <row r="259">
      <c r="B259" s="126"/>
      <c r="D259" s="90"/>
      <c r="E259" s="90"/>
      <c r="F259" s="90"/>
      <c r="I259" s="69"/>
    </row>
    <row r="260">
      <c r="B260" s="126"/>
      <c r="D260" s="90"/>
      <c r="E260" s="90"/>
      <c r="F260" s="90"/>
      <c r="I260" s="69"/>
    </row>
    <row r="261">
      <c r="B261" s="126"/>
      <c r="D261" s="90"/>
      <c r="E261" s="90"/>
      <c r="F261" s="90"/>
      <c r="I261" s="69"/>
    </row>
    <row r="262">
      <c r="B262" s="126"/>
      <c r="D262" s="90"/>
      <c r="E262" s="90"/>
      <c r="F262" s="90"/>
      <c r="I262" s="69"/>
    </row>
    <row r="263">
      <c r="B263" s="126"/>
      <c r="D263" s="90"/>
      <c r="E263" s="90"/>
      <c r="F263" s="90"/>
      <c r="I263" s="69"/>
    </row>
    <row r="264">
      <c r="B264" s="126"/>
      <c r="D264" s="90"/>
      <c r="E264" s="90"/>
      <c r="F264" s="90"/>
      <c r="I264" s="69"/>
    </row>
    <row r="265">
      <c r="B265" s="126"/>
      <c r="D265" s="90"/>
      <c r="E265" s="90"/>
      <c r="F265" s="90"/>
      <c r="I265" s="69"/>
    </row>
    <row r="266">
      <c r="B266" s="126"/>
      <c r="D266" s="90"/>
      <c r="E266" s="90"/>
      <c r="F266" s="90"/>
      <c r="I266" s="69"/>
    </row>
    <row r="267">
      <c r="B267" s="126"/>
      <c r="D267" s="90"/>
      <c r="E267" s="90"/>
      <c r="F267" s="90"/>
      <c r="I267" s="69"/>
    </row>
    <row r="268">
      <c r="B268" s="126"/>
      <c r="D268" s="90"/>
      <c r="E268" s="90"/>
      <c r="F268" s="90"/>
      <c r="I268" s="69"/>
    </row>
    <row r="269">
      <c r="B269" s="126"/>
      <c r="D269" s="90"/>
      <c r="E269" s="90"/>
      <c r="F269" s="90"/>
      <c r="I269" s="69"/>
    </row>
    <row r="270">
      <c r="B270" s="126"/>
      <c r="D270" s="90"/>
      <c r="E270" s="90"/>
      <c r="F270" s="90"/>
      <c r="I270" s="69"/>
    </row>
    <row r="271">
      <c r="B271" s="126"/>
      <c r="D271" s="90"/>
      <c r="E271" s="90"/>
      <c r="F271" s="90"/>
      <c r="I271" s="69"/>
    </row>
    <row r="272">
      <c r="B272" s="126"/>
      <c r="D272" s="90"/>
      <c r="E272" s="90"/>
      <c r="F272" s="90"/>
      <c r="I272" s="69"/>
    </row>
    <row r="273">
      <c r="B273" s="126"/>
      <c r="D273" s="90"/>
      <c r="E273" s="90"/>
      <c r="F273" s="90"/>
      <c r="I273" s="69"/>
    </row>
    <row r="274">
      <c r="B274" s="126"/>
      <c r="D274" s="90"/>
      <c r="E274" s="90"/>
      <c r="F274" s="90"/>
      <c r="I274" s="69"/>
    </row>
    <row r="275">
      <c r="B275" s="126"/>
      <c r="D275" s="90"/>
      <c r="E275" s="90"/>
      <c r="F275" s="90"/>
      <c r="I275" s="69"/>
    </row>
    <row r="276">
      <c r="B276" s="126"/>
      <c r="D276" s="90"/>
      <c r="E276" s="90"/>
      <c r="F276" s="90"/>
      <c r="I276" s="69"/>
    </row>
    <row r="277">
      <c r="B277" s="126"/>
      <c r="D277" s="90"/>
      <c r="E277" s="90"/>
      <c r="F277" s="90"/>
      <c r="I277" s="69"/>
    </row>
    <row r="278">
      <c r="B278" s="126"/>
      <c r="D278" s="90"/>
      <c r="E278" s="90"/>
      <c r="F278" s="90"/>
      <c r="I278" s="69"/>
    </row>
    <row r="279">
      <c r="B279" s="126"/>
      <c r="D279" s="90"/>
      <c r="E279" s="90"/>
      <c r="F279" s="90"/>
      <c r="I279" s="69"/>
    </row>
    <row r="280">
      <c r="B280" s="126"/>
      <c r="D280" s="90"/>
      <c r="E280" s="90"/>
      <c r="F280" s="90"/>
      <c r="I280" s="69"/>
    </row>
    <row r="281">
      <c r="B281" s="126"/>
      <c r="D281" s="90"/>
      <c r="E281" s="90"/>
      <c r="F281" s="90"/>
      <c r="I281" s="69"/>
    </row>
    <row r="282">
      <c r="B282" s="126"/>
      <c r="D282" s="90"/>
      <c r="E282" s="90"/>
      <c r="F282" s="90"/>
      <c r="I282" s="69"/>
    </row>
    <row r="283">
      <c r="B283" s="126"/>
      <c r="D283" s="90"/>
      <c r="E283" s="90"/>
      <c r="F283" s="90"/>
      <c r="I283" s="69"/>
    </row>
    <row r="284">
      <c r="B284" s="126"/>
      <c r="D284" s="90"/>
      <c r="E284" s="90"/>
      <c r="F284" s="90"/>
      <c r="I284" s="69"/>
    </row>
    <row r="285">
      <c r="B285" s="126"/>
      <c r="D285" s="90"/>
      <c r="E285" s="90"/>
      <c r="F285" s="90"/>
      <c r="I285" s="69"/>
    </row>
    <row r="286">
      <c r="B286" s="126"/>
      <c r="D286" s="90"/>
      <c r="E286" s="90"/>
      <c r="F286" s="90"/>
      <c r="I286" s="69"/>
    </row>
    <row r="287">
      <c r="B287" s="126"/>
      <c r="D287" s="90"/>
      <c r="E287" s="90"/>
      <c r="F287" s="90"/>
      <c r="I287" s="69"/>
    </row>
    <row r="288">
      <c r="B288" s="126"/>
      <c r="D288" s="90"/>
      <c r="E288" s="90"/>
      <c r="F288" s="90"/>
      <c r="I288" s="69"/>
    </row>
    <row r="289">
      <c r="B289" s="126"/>
      <c r="D289" s="90"/>
      <c r="E289" s="90"/>
      <c r="F289" s="90"/>
      <c r="I289" s="69"/>
    </row>
    <row r="290">
      <c r="B290" s="126"/>
      <c r="D290" s="90"/>
      <c r="E290" s="90"/>
      <c r="F290" s="90"/>
      <c r="I290" s="69"/>
    </row>
    <row r="291">
      <c r="B291" s="126"/>
      <c r="D291" s="90"/>
      <c r="E291" s="90"/>
      <c r="F291" s="90"/>
      <c r="I291" s="69"/>
    </row>
    <row r="292">
      <c r="B292" s="126"/>
      <c r="D292" s="90"/>
      <c r="E292" s="90"/>
      <c r="F292" s="90"/>
      <c r="I292" s="69"/>
    </row>
    <row r="293">
      <c r="B293" s="126"/>
      <c r="D293" s="90"/>
      <c r="E293" s="90"/>
      <c r="F293" s="90"/>
      <c r="I293" s="69"/>
    </row>
    <row r="294">
      <c r="B294" s="126"/>
      <c r="D294" s="90"/>
      <c r="E294" s="90"/>
      <c r="F294" s="90"/>
      <c r="I294" s="69"/>
    </row>
    <row r="295">
      <c r="B295" s="126"/>
      <c r="D295" s="90"/>
      <c r="E295" s="90"/>
      <c r="F295" s="90"/>
      <c r="I295" s="69"/>
    </row>
    <row r="296">
      <c r="B296" s="126"/>
      <c r="D296" s="90"/>
      <c r="E296" s="90"/>
      <c r="F296" s="90"/>
      <c r="I296" s="69"/>
    </row>
    <row r="297">
      <c r="B297" s="126"/>
      <c r="D297" s="90"/>
      <c r="E297" s="90"/>
      <c r="F297" s="90"/>
      <c r="I297" s="69"/>
    </row>
    <row r="298">
      <c r="B298" s="126"/>
      <c r="D298" s="90"/>
      <c r="E298" s="90"/>
      <c r="F298" s="90"/>
      <c r="I298" s="69"/>
    </row>
    <row r="299">
      <c r="B299" s="126"/>
      <c r="D299" s="90"/>
      <c r="E299" s="90"/>
      <c r="F299" s="90"/>
      <c r="I299" s="69"/>
    </row>
    <row r="300">
      <c r="B300" s="126"/>
      <c r="D300" s="90"/>
      <c r="E300" s="90"/>
      <c r="F300" s="90"/>
      <c r="I300" s="69"/>
    </row>
    <row r="301">
      <c r="B301" s="126"/>
      <c r="D301" s="90"/>
      <c r="E301" s="90"/>
      <c r="F301" s="90"/>
      <c r="I301" s="69"/>
    </row>
    <row r="302">
      <c r="B302" s="126"/>
      <c r="D302" s="90"/>
      <c r="E302" s="90"/>
      <c r="F302" s="90"/>
      <c r="I302" s="69"/>
    </row>
    <row r="303">
      <c r="B303" s="126"/>
      <c r="D303" s="90"/>
      <c r="E303" s="90"/>
      <c r="F303" s="90"/>
      <c r="I303" s="69"/>
    </row>
    <row r="304">
      <c r="B304" s="126"/>
      <c r="D304" s="90"/>
      <c r="E304" s="90"/>
      <c r="F304" s="90"/>
      <c r="I304" s="69"/>
    </row>
    <row r="305">
      <c r="B305" s="126"/>
      <c r="D305" s="90"/>
      <c r="E305" s="90"/>
      <c r="F305" s="90"/>
      <c r="I305" s="69"/>
    </row>
    <row r="306">
      <c r="B306" s="126"/>
      <c r="D306" s="90"/>
      <c r="E306" s="90"/>
      <c r="F306" s="90"/>
      <c r="I306" s="69"/>
    </row>
    <row r="307">
      <c r="B307" s="126"/>
      <c r="D307" s="90"/>
      <c r="E307" s="90"/>
      <c r="F307" s="90"/>
      <c r="I307" s="69"/>
    </row>
    <row r="308">
      <c r="B308" s="126"/>
      <c r="D308" s="90"/>
      <c r="E308" s="90"/>
      <c r="F308" s="90"/>
      <c r="I308" s="69"/>
    </row>
    <row r="309">
      <c r="B309" s="126"/>
      <c r="D309" s="90"/>
      <c r="E309" s="90"/>
      <c r="F309" s="90"/>
      <c r="I309" s="69"/>
    </row>
    <row r="310">
      <c r="B310" s="126"/>
      <c r="D310" s="90"/>
      <c r="E310" s="90"/>
      <c r="F310" s="90"/>
      <c r="I310" s="69"/>
    </row>
    <row r="311">
      <c r="B311" s="126"/>
      <c r="D311" s="90"/>
      <c r="E311" s="90"/>
      <c r="F311" s="90"/>
      <c r="I311" s="69"/>
    </row>
    <row r="312">
      <c r="B312" s="126"/>
      <c r="D312" s="90"/>
      <c r="E312" s="90"/>
      <c r="F312" s="90"/>
      <c r="I312" s="69"/>
    </row>
    <row r="313">
      <c r="B313" s="126"/>
      <c r="D313" s="90"/>
      <c r="E313" s="90"/>
      <c r="F313" s="90"/>
      <c r="I313" s="69"/>
    </row>
    <row r="314">
      <c r="B314" s="126"/>
      <c r="D314" s="90"/>
      <c r="E314" s="90"/>
      <c r="F314" s="90"/>
      <c r="I314" s="69"/>
    </row>
    <row r="315">
      <c r="B315" s="126"/>
      <c r="D315" s="90"/>
      <c r="E315" s="90"/>
      <c r="F315" s="90"/>
      <c r="I315" s="69"/>
    </row>
    <row r="316">
      <c r="B316" s="126"/>
      <c r="D316" s="90"/>
      <c r="E316" s="90"/>
      <c r="F316" s="90"/>
      <c r="I316" s="69"/>
    </row>
    <row r="317">
      <c r="B317" s="126"/>
      <c r="D317" s="90"/>
      <c r="E317" s="90"/>
      <c r="F317" s="90"/>
      <c r="I317" s="69"/>
    </row>
    <row r="318">
      <c r="B318" s="126"/>
      <c r="D318" s="90"/>
      <c r="E318" s="90"/>
      <c r="F318" s="90"/>
      <c r="I318" s="69"/>
    </row>
    <row r="319">
      <c r="B319" s="126"/>
      <c r="D319" s="90"/>
      <c r="E319" s="90"/>
      <c r="F319" s="90"/>
      <c r="I319" s="69"/>
    </row>
    <row r="320">
      <c r="B320" s="126"/>
      <c r="D320" s="90"/>
      <c r="E320" s="90"/>
      <c r="F320" s="90"/>
      <c r="I320" s="69"/>
    </row>
    <row r="321">
      <c r="B321" s="126"/>
      <c r="D321" s="90"/>
      <c r="E321" s="90"/>
      <c r="F321" s="90"/>
      <c r="I321" s="69"/>
    </row>
    <row r="322">
      <c r="B322" s="126"/>
      <c r="D322" s="90"/>
      <c r="E322" s="90"/>
      <c r="F322" s="90"/>
      <c r="I322" s="69"/>
    </row>
    <row r="323">
      <c r="B323" s="126"/>
      <c r="D323" s="90"/>
      <c r="E323" s="90"/>
      <c r="F323" s="90"/>
      <c r="I323" s="69"/>
    </row>
    <row r="324">
      <c r="B324" s="126"/>
      <c r="D324" s="90"/>
      <c r="E324" s="90"/>
      <c r="F324" s="90"/>
      <c r="I324" s="69"/>
    </row>
    <row r="325">
      <c r="B325" s="126"/>
      <c r="D325" s="90"/>
      <c r="E325" s="90"/>
      <c r="F325" s="90"/>
      <c r="I325" s="69"/>
    </row>
    <row r="326">
      <c r="B326" s="126"/>
      <c r="D326" s="90"/>
      <c r="E326" s="90"/>
      <c r="F326" s="90"/>
      <c r="I326" s="69"/>
    </row>
    <row r="327">
      <c r="B327" s="126"/>
      <c r="D327" s="90"/>
      <c r="E327" s="90"/>
      <c r="F327" s="90"/>
      <c r="I327" s="69"/>
    </row>
    <row r="328">
      <c r="B328" s="126"/>
      <c r="D328" s="90"/>
      <c r="E328" s="90"/>
      <c r="F328" s="90"/>
      <c r="I328" s="69"/>
    </row>
    <row r="329">
      <c r="B329" s="126"/>
      <c r="D329" s="90"/>
      <c r="E329" s="90"/>
      <c r="F329" s="90"/>
      <c r="I329" s="69"/>
    </row>
    <row r="330">
      <c r="B330" s="126"/>
      <c r="D330" s="90"/>
      <c r="E330" s="90"/>
      <c r="F330" s="90"/>
      <c r="I330" s="69"/>
    </row>
    <row r="331">
      <c r="B331" s="126"/>
      <c r="D331" s="90"/>
      <c r="E331" s="90"/>
      <c r="F331" s="90"/>
      <c r="I331" s="69"/>
    </row>
    <row r="332">
      <c r="B332" s="126"/>
      <c r="D332" s="90"/>
      <c r="E332" s="90"/>
      <c r="F332" s="90"/>
      <c r="I332" s="69"/>
    </row>
    <row r="333">
      <c r="B333" s="126"/>
      <c r="D333" s="90"/>
      <c r="E333" s="90"/>
      <c r="F333" s="90"/>
      <c r="I333" s="69"/>
    </row>
    <row r="334">
      <c r="B334" s="126"/>
      <c r="D334" s="90"/>
      <c r="E334" s="90"/>
      <c r="F334" s="90"/>
      <c r="I334" s="69"/>
    </row>
    <row r="335">
      <c r="B335" s="126"/>
      <c r="D335" s="90"/>
      <c r="E335" s="90"/>
      <c r="F335" s="90"/>
      <c r="I335" s="69"/>
    </row>
    <row r="336">
      <c r="B336" s="126"/>
      <c r="D336" s="90"/>
      <c r="E336" s="90"/>
      <c r="F336" s="90"/>
      <c r="I336" s="69"/>
    </row>
    <row r="337">
      <c r="B337" s="126"/>
      <c r="D337" s="90"/>
      <c r="E337" s="90"/>
      <c r="F337" s="90"/>
      <c r="I337" s="69"/>
    </row>
    <row r="338">
      <c r="B338" s="126"/>
      <c r="D338" s="90"/>
      <c r="E338" s="90"/>
      <c r="F338" s="90"/>
      <c r="I338" s="69"/>
    </row>
    <row r="339">
      <c r="B339" s="126"/>
      <c r="D339" s="90"/>
      <c r="E339" s="90"/>
      <c r="F339" s="90"/>
      <c r="I339" s="69"/>
    </row>
    <row r="340">
      <c r="B340" s="126"/>
      <c r="D340" s="90"/>
      <c r="E340" s="90"/>
      <c r="F340" s="90"/>
      <c r="I340" s="69"/>
    </row>
    <row r="341">
      <c r="B341" s="126"/>
      <c r="D341" s="90"/>
      <c r="E341" s="90"/>
      <c r="F341" s="90"/>
      <c r="I341" s="69"/>
    </row>
    <row r="342">
      <c r="B342" s="126"/>
      <c r="D342" s="90"/>
      <c r="E342" s="90"/>
      <c r="F342" s="90"/>
      <c r="I342" s="69"/>
    </row>
    <row r="343">
      <c r="B343" s="126"/>
      <c r="D343" s="90"/>
      <c r="E343" s="90"/>
      <c r="F343" s="90"/>
      <c r="I343" s="69"/>
    </row>
    <row r="344">
      <c r="B344" s="126"/>
      <c r="D344" s="90"/>
      <c r="E344" s="90"/>
      <c r="F344" s="90"/>
      <c r="I344" s="69"/>
    </row>
    <row r="345">
      <c r="B345" s="126"/>
      <c r="D345" s="90"/>
      <c r="E345" s="90"/>
      <c r="F345" s="90"/>
      <c r="I345" s="69"/>
    </row>
    <row r="346">
      <c r="B346" s="126"/>
      <c r="D346" s="90"/>
      <c r="E346" s="90"/>
      <c r="F346" s="90"/>
      <c r="I346" s="69"/>
    </row>
    <row r="347">
      <c r="B347" s="126"/>
      <c r="D347" s="90"/>
      <c r="E347" s="90"/>
      <c r="F347" s="90"/>
      <c r="I347" s="69"/>
    </row>
    <row r="348">
      <c r="B348" s="126"/>
      <c r="D348" s="90"/>
      <c r="E348" s="90"/>
      <c r="F348" s="90"/>
      <c r="I348" s="69"/>
    </row>
    <row r="349">
      <c r="B349" s="126"/>
      <c r="D349" s="90"/>
      <c r="E349" s="90"/>
      <c r="F349" s="90"/>
      <c r="I349" s="69"/>
    </row>
    <row r="350">
      <c r="B350" s="126"/>
      <c r="D350" s="90"/>
      <c r="E350" s="90"/>
      <c r="F350" s="90"/>
      <c r="I350" s="69"/>
    </row>
    <row r="351">
      <c r="B351" s="126"/>
      <c r="D351" s="90"/>
      <c r="E351" s="90"/>
      <c r="F351" s="90"/>
      <c r="I351" s="69"/>
    </row>
    <row r="352">
      <c r="B352" s="126"/>
      <c r="D352" s="90"/>
      <c r="E352" s="90"/>
      <c r="F352" s="90"/>
      <c r="I352" s="69"/>
    </row>
    <row r="353">
      <c r="B353" s="126"/>
      <c r="D353" s="90"/>
      <c r="E353" s="90"/>
      <c r="F353" s="90"/>
      <c r="I353" s="69"/>
    </row>
    <row r="354">
      <c r="B354" s="126"/>
      <c r="D354" s="90"/>
      <c r="E354" s="90"/>
      <c r="F354" s="90"/>
      <c r="I354" s="69"/>
    </row>
    <row r="355">
      <c r="B355" s="126"/>
      <c r="D355" s="90"/>
      <c r="E355" s="90"/>
      <c r="F355" s="90"/>
      <c r="I355" s="69"/>
    </row>
    <row r="356">
      <c r="B356" s="126"/>
      <c r="D356" s="90"/>
      <c r="E356" s="90"/>
      <c r="F356" s="90"/>
      <c r="I356" s="69"/>
    </row>
    <row r="357">
      <c r="B357" s="126"/>
      <c r="D357" s="90"/>
      <c r="E357" s="90"/>
      <c r="F357" s="90"/>
      <c r="I357" s="69"/>
    </row>
    <row r="358">
      <c r="B358" s="126"/>
      <c r="D358" s="90"/>
      <c r="E358" s="90"/>
      <c r="F358" s="90"/>
      <c r="I358" s="69"/>
    </row>
    <row r="359">
      <c r="B359" s="126"/>
      <c r="D359" s="90"/>
      <c r="E359" s="90"/>
      <c r="F359" s="90"/>
      <c r="I359" s="69"/>
    </row>
    <row r="360">
      <c r="B360" s="126"/>
      <c r="D360" s="90"/>
      <c r="E360" s="90"/>
      <c r="F360" s="90"/>
      <c r="I360" s="69"/>
    </row>
    <row r="361">
      <c r="B361" s="126"/>
      <c r="D361" s="90"/>
      <c r="E361" s="90"/>
      <c r="F361" s="90"/>
      <c r="I361" s="69"/>
    </row>
    <row r="362">
      <c r="B362" s="126"/>
      <c r="D362" s="90"/>
      <c r="E362" s="90"/>
      <c r="F362" s="90"/>
      <c r="I362" s="69"/>
    </row>
    <row r="363">
      <c r="B363" s="126"/>
      <c r="D363" s="90"/>
      <c r="E363" s="90"/>
      <c r="F363" s="90"/>
      <c r="I363" s="69"/>
    </row>
    <row r="364">
      <c r="B364" s="126"/>
      <c r="D364" s="90"/>
      <c r="E364" s="90"/>
      <c r="F364" s="90"/>
      <c r="I364" s="69"/>
    </row>
    <row r="365">
      <c r="B365" s="126"/>
      <c r="D365" s="90"/>
      <c r="E365" s="90"/>
      <c r="F365" s="90"/>
      <c r="I365" s="69"/>
    </row>
    <row r="366">
      <c r="B366" s="126"/>
      <c r="D366" s="90"/>
      <c r="E366" s="90"/>
      <c r="F366" s="90"/>
      <c r="I366" s="69"/>
    </row>
    <row r="367">
      <c r="B367" s="126"/>
      <c r="D367" s="90"/>
      <c r="E367" s="90"/>
      <c r="F367" s="90"/>
      <c r="I367" s="69"/>
    </row>
    <row r="368">
      <c r="B368" s="126"/>
      <c r="D368" s="90"/>
      <c r="E368" s="90"/>
      <c r="F368" s="90"/>
      <c r="I368" s="69"/>
    </row>
    <row r="369">
      <c r="B369" s="126"/>
      <c r="D369" s="90"/>
      <c r="E369" s="90"/>
      <c r="F369" s="90"/>
      <c r="I369" s="69"/>
    </row>
    <row r="370">
      <c r="B370" s="126"/>
      <c r="D370" s="90"/>
      <c r="E370" s="90"/>
      <c r="F370" s="90"/>
      <c r="I370" s="69"/>
    </row>
    <row r="371">
      <c r="B371" s="126"/>
      <c r="D371" s="90"/>
      <c r="E371" s="90"/>
      <c r="F371" s="90"/>
      <c r="I371" s="69"/>
    </row>
    <row r="372">
      <c r="B372" s="126"/>
      <c r="D372" s="90"/>
      <c r="E372" s="90"/>
      <c r="F372" s="90"/>
      <c r="I372" s="69"/>
    </row>
    <row r="373">
      <c r="B373" s="126"/>
      <c r="D373" s="90"/>
      <c r="E373" s="90"/>
      <c r="F373" s="90"/>
      <c r="I373" s="69"/>
    </row>
    <row r="374">
      <c r="B374" s="126"/>
      <c r="D374" s="90"/>
      <c r="E374" s="90"/>
      <c r="F374" s="90"/>
      <c r="I374" s="69"/>
    </row>
    <row r="375">
      <c r="B375" s="126"/>
      <c r="D375" s="90"/>
      <c r="E375" s="90"/>
      <c r="F375" s="90"/>
      <c r="I375" s="69"/>
    </row>
    <row r="376">
      <c r="B376" s="126"/>
      <c r="D376" s="90"/>
      <c r="E376" s="90"/>
      <c r="F376" s="90"/>
      <c r="I376" s="69"/>
    </row>
    <row r="377">
      <c r="B377" s="126"/>
      <c r="D377" s="90"/>
      <c r="E377" s="90"/>
      <c r="F377" s="90"/>
      <c r="I377" s="69"/>
    </row>
    <row r="378">
      <c r="B378" s="126"/>
      <c r="D378" s="90"/>
      <c r="E378" s="90"/>
      <c r="F378" s="90"/>
      <c r="I378" s="69"/>
    </row>
    <row r="379">
      <c r="B379" s="126"/>
      <c r="D379" s="90"/>
      <c r="E379" s="90"/>
      <c r="F379" s="90"/>
      <c r="I379" s="69"/>
    </row>
    <row r="380">
      <c r="B380" s="126"/>
      <c r="D380" s="90"/>
      <c r="E380" s="90"/>
      <c r="F380" s="90"/>
      <c r="I380" s="69"/>
    </row>
    <row r="381">
      <c r="B381" s="126"/>
      <c r="D381" s="90"/>
      <c r="E381" s="90"/>
      <c r="F381" s="90"/>
      <c r="I381" s="69"/>
    </row>
    <row r="382">
      <c r="B382" s="126"/>
      <c r="D382" s="90"/>
      <c r="E382" s="90"/>
      <c r="F382" s="90"/>
      <c r="I382" s="69"/>
    </row>
    <row r="383">
      <c r="B383" s="126"/>
      <c r="D383" s="90"/>
      <c r="E383" s="90"/>
      <c r="F383" s="90"/>
      <c r="I383" s="69"/>
    </row>
    <row r="384">
      <c r="B384" s="126"/>
      <c r="D384" s="90"/>
      <c r="E384" s="90"/>
      <c r="F384" s="90"/>
      <c r="I384" s="69"/>
    </row>
    <row r="385">
      <c r="B385" s="126"/>
      <c r="D385" s="90"/>
      <c r="E385" s="90"/>
      <c r="F385" s="90"/>
      <c r="I385" s="69"/>
    </row>
    <row r="386">
      <c r="B386" s="126"/>
      <c r="D386" s="90"/>
      <c r="E386" s="90"/>
      <c r="F386" s="90"/>
      <c r="I386" s="69"/>
    </row>
    <row r="387">
      <c r="B387" s="126"/>
      <c r="D387" s="90"/>
      <c r="E387" s="90"/>
      <c r="F387" s="90"/>
      <c r="I387" s="69"/>
    </row>
    <row r="388">
      <c r="B388" s="126"/>
      <c r="D388" s="90"/>
      <c r="E388" s="90"/>
      <c r="F388" s="90"/>
      <c r="I388" s="69"/>
    </row>
    <row r="389">
      <c r="B389" s="126"/>
      <c r="D389" s="90"/>
      <c r="E389" s="90"/>
      <c r="F389" s="90"/>
      <c r="I389" s="69"/>
    </row>
    <row r="390">
      <c r="B390" s="126"/>
      <c r="D390" s="90"/>
      <c r="E390" s="90"/>
      <c r="F390" s="90"/>
      <c r="I390" s="69"/>
    </row>
    <row r="391">
      <c r="B391" s="126"/>
      <c r="D391" s="90"/>
      <c r="E391" s="90"/>
      <c r="F391" s="90"/>
      <c r="I391" s="69"/>
    </row>
    <row r="392">
      <c r="B392" s="126"/>
      <c r="D392" s="90"/>
      <c r="E392" s="90"/>
      <c r="F392" s="90"/>
      <c r="I392" s="69"/>
    </row>
    <row r="393">
      <c r="B393" s="126"/>
      <c r="D393" s="90"/>
      <c r="E393" s="90"/>
      <c r="F393" s="90"/>
      <c r="I393" s="69"/>
    </row>
    <row r="394">
      <c r="B394" s="126"/>
      <c r="D394" s="90"/>
      <c r="E394" s="90"/>
      <c r="F394" s="90"/>
      <c r="I394" s="69"/>
    </row>
    <row r="395">
      <c r="B395" s="126"/>
      <c r="D395" s="90"/>
      <c r="E395" s="90"/>
      <c r="F395" s="90"/>
      <c r="I395" s="69"/>
    </row>
    <row r="396">
      <c r="B396" s="126"/>
      <c r="D396" s="90"/>
      <c r="E396" s="90"/>
      <c r="F396" s="90"/>
      <c r="I396" s="69"/>
    </row>
    <row r="397">
      <c r="B397" s="126"/>
      <c r="D397" s="90"/>
      <c r="E397" s="90"/>
      <c r="F397" s="90"/>
      <c r="I397" s="69"/>
    </row>
    <row r="398">
      <c r="B398" s="126"/>
      <c r="D398" s="90"/>
      <c r="E398" s="90"/>
      <c r="F398" s="90"/>
      <c r="I398" s="69"/>
    </row>
    <row r="399">
      <c r="B399" s="126"/>
      <c r="D399" s="90"/>
      <c r="E399" s="90"/>
      <c r="F399" s="90"/>
      <c r="I399" s="69"/>
    </row>
    <row r="400">
      <c r="B400" s="126"/>
      <c r="D400" s="90"/>
      <c r="E400" s="90"/>
      <c r="F400" s="90"/>
      <c r="I400" s="69"/>
    </row>
    <row r="401">
      <c r="B401" s="126"/>
      <c r="D401" s="90"/>
      <c r="E401" s="90"/>
      <c r="F401" s="90"/>
      <c r="I401" s="69"/>
    </row>
    <row r="402">
      <c r="B402" s="126"/>
      <c r="D402" s="90"/>
      <c r="E402" s="90"/>
      <c r="F402" s="90"/>
      <c r="I402" s="69"/>
    </row>
    <row r="403">
      <c r="B403" s="126"/>
      <c r="D403" s="90"/>
      <c r="E403" s="90"/>
      <c r="F403" s="90"/>
      <c r="I403" s="69"/>
    </row>
    <row r="404">
      <c r="B404" s="126"/>
      <c r="D404" s="90"/>
      <c r="E404" s="90"/>
      <c r="F404" s="90"/>
      <c r="I404" s="69"/>
    </row>
    <row r="405">
      <c r="B405" s="126"/>
      <c r="D405" s="90"/>
      <c r="E405" s="90"/>
      <c r="F405" s="90"/>
      <c r="I405" s="69"/>
    </row>
    <row r="406">
      <c r="B406" s="126"/>
      <c r="D406" s="90"/>
      <c r="E406" s="90"/>
      <c r="F406" s="90"/>
      <c r="I406" s="69"/>
    </row>
    <row r="407">
      <c r="B407" s="126"/>
      <c r="D407" s="90"/>
      <c r="E407" s="90"/>
      <c r="F407" s="90"/>
      <c r="I407" s="69"/>
    </row>
    <row r="408">
      <c r="B408" s="126"/>
      <c r="D408" s="90"/>
      <c r="E408" s="90"/>
      <c r="F408" s="90"/>
      <c r="I408" s="69"/>
    </row>
    <row r="409">
      <c r="B409" s="126"/>
      <c r="D409" s="90"/>
      <c r="E409" s="90"/>
      <c r="F409" s="90"/>
      <c r="I409" s="69"/>
    </row>
    <row r="410">
      <c r="B410" s="126"/>
      <c r="D410" s="90"/>
      <c r="E410" s="90"/>
      <c r="F410" s="90"/>
      <c r="I410" s="69"/>
    </row>
    <row r="411">
      <c r="B411" s="126"/>
      <c r="D411" s="90"/>
      <c r="E411" s="90"/>
      <c r="F411" s="90"/>
      <c r="I411" s="69"/>
    </row>
    <row r="412">
      <c r="B412" s="126"/>
      <c r="D412" s="90"/>
      <c r="E412" s="90"/>
      <c r="F412" s="90"/>
      <c r="I412" s="69"/>
    </row>
    <row r="413">
      <c r="B413" s="126"/>
      <c r="D413" s="90"/>
      <c r="E413" s="90"/>
      <c r="F413" s="90"/>
      <c r="I413" s="69"/>
    </row>
    <row r="414">
      <c r="B414" s="126"/>
      <c r="D414" s="90"/>
      <c r="E414" s="90"/>
      <c r="F414" s="90"/>
      <c r="I414" s="69"/>
    </row>
    <row r="415">
      <c r="B415" s="126"/>
      <c r="D415" s="90"/>
      <c r="E415" s="90"/>
      <c r="F415" s="90"/>
      <c r="I415" s="69"/>
    </row>
    <row r="416">
      <c r="B416" s="126"/>
      <c r="D416" s="90"/>
      <c r="E416" s="90"/>
      <c r="F416" s="90"/>
      <c r="I416" s="69"/>
    </row>
    <row r="417">
      <c r="B417" s="126"/>
      <c r="D417" s="90"/>
      <c r="E417" s="90"/>
      <c r="F417" s="90"/>
      <c r="I417" s="69"/>
    </row>
    <row r="418">
      <c r="B418" s="126"/>
      <c r="D418" s="90"/>
      <c r="E418" s="90"/>
      <c r="F418" s="90"/>
      <c r="I418" s="69"/>
    </row>
    <row r="419">
      <c r="B419" s="126"/>
      <c r="D419" s="90"/>
      <c r="E419" s="90"/>
      <c r="F419" s="90"/>
      <c r="I419" s="69"/>
    </row>
    <row r="420">
      <c r="B420" s="126"/>
      <c r="D420" s="90"/>
      <c r="E420" s="90"/>
      <c r="F420" s="90"/>
      <c r="I420" s="69"/>
    </row>
    <row r="421">
      <c r="B421" s="126"/>
      <c r="D421" s="90"/>
      <c r="E421" s="90"/>
      <c r="F421" s="90"/>
      <c r="I421" s="69"/>
    </row>
    <row r="422">
      <c r="B422" s="126"/>
      <c r="D422" s="90"/>
      <c r="E422" s="90"/>
      <c r="F422" s="90"/>
      <c r="I422" s="69"/>
    </row>
    <row r="423">
      <c r="B423" s="126"/>
      <c r="D423" s="90"/>
      <c r="E423" s="90"/>
      <c r="F423" s="90"/>
      <c r="I423" s="69"/>
    </row>
    <row r="424">
      <c r="B424" s="126"/>
      <c r="D424" s="90"/>
      <c r="E424" s="90"/>
      <c r="F424" s="90"/>
      <c r="I424" s="69"/>
    </row>
    <row r="425">
      <c r="B425" s="126"/>
      <c r="D425" s="90"/>
      <c r="E425" s="90"/>
      <c r="F425" s="90"/>
      <c r="I425" s="69"/>
    </row>
    <row r="426">
      <c r="B426" s="126"/>
      <c r="D426" s="90"/>
      <c r="E426" s="90"/>
      <c r="F426" s="90"/>
      <c r="I426" s="69"/>
    </row>
    <row r="427">
      <c r="B427" s="126"/>
      <c r="D427" s="90"/>
      <c r="E427" s="90"/>
      <c r="F427" s="90"/>
      <c r="I427" s="69"/>
    </row>
    <row r="428">
      <c r="B428" s="126"/>
      <c r="D428" s="90"/>
      <c r="E428" s="90"/>
      <c r="F428" s="90"/>
      <c r="I428" s="69"/>
    </row>
    <row r="429">
      <c r="B429" s="126"/>
      <c r="D429" s="90"/>
      <c r="E429" s="90"/>
      <c r="F429" s="90"/>
      <c r="I429" s="69"/>
    </row>
    <row r="430">
      <c r="B430" s="126"/>
      <c r="D430" s="90"/>
      <c r="E430" s="90"/>
      <c r="F430" s="90"/>
      <c r="I430" s="69"/>
    </row>
    <row r="431">
      <c r="B431" s="126"/>
      <c r="D431" s="90"/>
      <c r="E431" s="90"/>
      <c r="F431" s="90"/>
      <c r="I431" s="69"/>
    </row>
    <row r="432">
      <c r="B432" s="126"/>
      <c r="D432" s="90"/>
      <c r="E432" s="90"/>
      <c r="F432" s="90"/>
      <c r="I432" s="69"/>
    </row>
    <row r="433">
      <c r="B433" s="126"/>
      <c r="D433" s="90"/>
      <c r="E433" s="90"/>
      <c r="F433" s="90"/>
      <c r="I433" s="69"/>
    </row>
    <row r="434">
      <c r="B434" s="126"/>
      <c r="D434" s="90"/>
      <c r="E434" s="90"/>
      <c r="F434" s="90"/>
      <c r="I434" s="69"/>
    </row>
    <row r="435">
      <c r="B435" s="126"/>
      <c r="D435" s="90"/>
      <c r="E435" s="90"/>
      <c r="F435" s="90"/>
      <c r="I435" s="69"/>
    </row>
    <row r="436">
      <c r="B436" s="126"/>
      <c r="D436" s="90"/>
      <c r="E436" s="90"/>
      <c r="F436" s="90"/>
      <c r="I436" s="69"/>
    </row>
    <row r="437">
      <c r="B437" s="126"/>
      <c r="D437" s="90"/>
      <c r="E437" s="90"/>
      <c r="F437" s="90"/>
      <c r="I437" s="69"/>
    </row>
    <row r="438">
      <c r="B438" s="126"/>
      <c r="D438" s="90"/>
      <c r="E438" s="90"/>
      <c r="F438" s="90"/>
      <c r="I438" s="69"/>
    </row>
    <row r="439">
      <c r="B439" s="126"/>
      <c r="D439" s="90"/>
      <c r="E439" s="90"/>
      <c r="F439" s="90"/>
      <c r="I439" s="69"/>
    </row>
    <row r="440">
      <c r="B440" s="126"/>
      <c r="D440" s="90"/>
      <c r="E440" s="90"/>
      <c r="F440" s="90"/>
      <c r="I440" s="69"/>
    </row>
    <row r="441">
      <c r="B441" s="126"/>
      <c r="D441" s="90"/>
      <c r="E441" s="90"/>
      <c r="F441" s="90"/>
      <c r="I441" s="69"/>
    </row>
    <row r="442">
      <c r="B442" s="126"/>
      <c r="D442" s="90"/>
      <c r="E442" s="90"/>
      <c r="F442" s="90"/>
      <c r="I442" s="69"/>
    </row>
    <row r="443">
      <c r="B443" s="126"/>
      <c r="D443" s="90"/>
      <c r="E443" s="90"/>
      <c r="F443" s="90"/>
      <c r="I443" s="69"/>
    </row>
    <row r="444">
      <c r="B444" s="126"/>
      <c r="D444" s="90"/>
      <c r="E444" s="90"/>
      <c r="F444" s="90"/>
      <c r="I444" s="69"/>
    </row>
    <row r="445">
      <c r="B445" s="126"/>
      <c r="D445" s="90"/>
      <c r="E445" s="90"/>
      <c r="F445" s="90"/>
      <c r="I445" s="69"/>
    </row>
    <row r="446">
      <c r="B446" s="126"/>
      <c r="D446" s="90"/>
      <c r="E446" s="90"/>
      <c r="F446" s="90"/>
      <c r="I446" s="69"/>
    </row>
    <row r="447">
      <c r="B447" s="126"/>
      <c r="D447" s="90"/>
      <c r="E447" s="90"/>
      <c r="F447" s="90"/>
      <c r="I447" s="69"/>
    </row>
    <row r="448">
      <c r="B448" s="126"/>
      <c r="D448" s="90"/>
      <c r="E448" s="90"/>
      <c r="F448" s="90"/>
      <c r="I448" s="69"/>
    </row>
    <row r="449">
      <c r="B449" s="126"/>
      <c r="D449" s="90"/>
      <c r="E449" s="90"/>
      <c r="F449" s="90"/>
      <c r="I449" s="69"/>
    </row>
    <row r="450">
      <c r="B450" s="126"/>
      <c r="D450" s="90"/>
      <c r="E450" s="90"/>
      <c r="F450" s="90"/>
      <c r="I450" s="69"/>
    </row>
    <row r="451">
      <c r="B451" s="126"/>
      <c r="D451" s="90"/>
      <c r="E451" s="90"/>
      <c r="F451" s="90"/>
      <c r="I451" s="69"/>
    </row>
    <row r="452">
      <c r="B452" s="126"/>
      <c r="D452" s="90"/>
      <c r="E452" s="90"/>
      <c r="F452" s="90"/>
      <c r="I452" s="69"/>
    </row>
    <row r="453">
      <c r="B453" s="126"/>
      <c r="D453" s="90"/>
      <c r="E453" s="90"/>
      <c r="F453" s="90"/>
      <c r="I453" s="69"/>
    </row>
    <row r="454">
      <c r="B454" s="126"/>
      <c r="D454" s="90"/>
      <c r="E454" s="90"/>
      <c r="F454" s="90"/>
      <c r="I454" s="69"/>
    </row>
    <row r="455">
      <c r="B455" s="126"/>
      <c r="D455" s="90"/>
      <c r="E455" s="90"/>
      <c r="F455" s="90"/>
      <c r="I455" s="69"/>
    </row>
    <row r="456">
      <c r="B456" s="126"/>
      <c r="D456" s="90"/>
      <c r="E456" s="90"/>
      <c r="F456" s="90"/>
      <c r="I456" s="69"/>
    </row>
    <row r="457">
      <c r="B457" s="126"/>
      <c r="D457" s="90"/>
      <c r="E457" s="90"/>
      <c r="F457" s="90"/>
      <c r="I457" s="69"/>
    </row>
    <row r="458">
      <c r="B458" s="126"/>
      <c r="D458" s="90"/>
      <c r="E458" s="90"/>
      <c r="F458" s="90"/>
      <c r="I458" s="69"/>
    </row>
    <row r="459">
      <c r="B459" s="126"/>
      <c r="D459" s="90"/>
      <c r="E459" s="90"/>
      <c r="F459" s="90"/>
      <c r="I459" s="69"/>
    </row>
    <row r="460">
      <c r="B460" s="126"/>
      <c r="D460" s="90"/>
      <c r="E460" s="90"/>
      <c r="F460" s="90"/>
      <c r="I460" s="69"/>
    </row>
    <row r="461">
      <c r="B461" s="126"/>
      <c r="D461" s="90"/>
      <c r="E461" s="90"/>
      <c r="F461" s="90"/>
      <c r="I461" s="69"/>
    </row>
    <row r="462">
      <c r="B462" s="126"/>
      <c r="D462" s="90"/>
      <c r="E462" s="90"/>
      <c r="F462" s="90"/>
      <c r="I462" s="69"/>
    </row>
    <row r="463">
      <c r="B463" s="126"/>
      <c r="D463" s="90"/>
      <c r="E463" s="90"/>
      <c r="F463" s="90"/>
      <c r="I463" s="69"/>
    </row>
    <row r="464">
      <c r="B464" s="126"/>
      <c r="D464" s="90"/>
      <c r="E464" s="90"/>
      <c r="F464" s="90"/>
      <c r="I464" s="69"/>
    </row>
    <row r="465">
      <c r="B465" s="126"/>
      <c r="D465" s="90"/>
      <c r="E465" s="90"/>
      <c r="F465" s="90"/>
      <c r="I465" s="69"/>
    </row>
    <row r="466">
      <c r="B466" s="126"/>
      <c r="D466" s="90"/>
      <c r="E466" s="90"/>
      <c r="F466" s="90"/>
      <c r="I466" s="69"/>
    </row>
    <row r="467">
      <c r="B467" s="126"/>
      <c r="D467" s="90"/>
      <c r="E467" s="90"/>
      <c r="F467" s="90"/>
      <c r="I467" s="69"/>
    </row>
    <row r="468">
      <c r="B468" s="126"/>
      <c r="D468" s="90"/>
      <c r="E468" s="90"/>
      <c r="F468" s="90"/>
      <c r="I468" s="69"/>
    </row>
    <row r="469">
      <c r="B469" s="126"/>
      <c r="D469" s="90"/>
      <c r="E469" s="90"/>
      <c r="F469" s="90"/>
      <c r="I469" s="69"/>
    </row>
    <row r="470">
      <c r="B470" s="126"/>
      <c r="D470" s="90"/>
      <c r="E470" s="90"/>
      <c r="F470" s="90"/>
      <c r="I470" s="69"/>
    </row>
    <row r="471">
      <c r="B471" s="126"/>
      <c r="D471" s="90"/>
      <c r="E471" s="90"/>
      <c r="F471" s="90"/>
      <c r="I471" s="69"/>
    </row>
    <row r="472">
      <c r="B472" s="126"/>
      <c r="D472" s="90"/>
      <c r="E472" s="90"/>
      <c r="F472" s="90"/>
      <c r="I472" s="69"/>
    </row>
    <row r="473">
      <c r="B473" s="126"/>
      <c r="D473" s="90"/>
      <c r="E473" s="90"/>
      <c r="F473" s="90"/>
      <c r="I473" s="69"/>
    </row>
    <row r="474">
      <c r="B474" s="126"/>
      <c r="D474" s="90"/>
      <c r="E474" s="90"/>
      <c r="F474" s="90"/>
      <c r="I474" s="69"/>
    </row>
    <row r="475">
      <c r="B475" s="126"/>
      <c r="D475" s="90"/>
      <c r="E475" s="90"/>
      <c r="F475" s="90"/>
      <c r="I475" s="69"/>
    </row>
    <row r="476">
      <c r="B476" s="126"/>
      <c r="D476" s="90"/>
      <c r="E476" s="90"/>
      <c r="F476" s="90"/>
      <c r="I476" s="69"/>
    </row>
    <row r="477">
      <c r="B477" s="126"/>
      <c r="D477" s="90"/>
      <c r="E477" s="90"/>
      <c r="F477" s="90"/>
      <c r="I477" s="69"/>
    </row>
    <row r="478">
      <c r="B478" s="126"/>
      <c r="D478" s="90"/>
      <c r="E478" s="90"/>
      <c r="F478" s="90"/>
      <c r="I478" s="69"/>
    </row>
    <row r="479">
      <c r="B479" s="126"/>
      <c r="D479" s="90"/>
      <c r="E479" s="90"/>
      <c r="F479" s="90"/>
      <c r="I479" s="69"/>
    </row>
    <row r="480">
      <c r="B480" s="126"/>
      <c r="D480" s="90"/>
      <c r="E480" s="90"/>
      <c r="F480" s="90"/>
      <c r="I480" s="69"/>
    </row>
    <row r="481">
      <c r="B481" s="126"/>
      <c r="D481" s="90"/>
      <c r="E481" s="90"/>
      <c r="F481" s="90"/>
      <c r="I481" s="69"/>
    </row>
    <row r="482">
      <c r="B482" s="126"/>
      <c r="D482" s="90"/>
      <c r="E482" s="90"/>
      <c r="F482" s="90"/>
      <c r="I482" s="69"/>
    </row>
    <row r="483">
      <c r="B483" s="126"/>
      <c r="D483" s="90"/>
      <c r="E483" s="90"/>
      <c r="F483" s="90"/>
      <c r="I483" s="69"/>
    </row>
    <row r="484">
      <c r="B484" s="126"/>
      <c r="D484" s="90"/>
      <c r="E484" s="90"/>
      <c r="F484" s="90"/>
      <c r="I484" s="69"/>
    </row>
    <row r="485">
      <c r="B485" s="126"/>
      <c r="D485" s="90"/>
      <c r="E485" s="90"/>
      <c r="F485" s="90"/>
      <c r="I485" s="69"/>
    </row>
    <row r="486">
      <c r="B486" s="126"/>
      <c r="D486" s="90"/>
      <c r="E486" s="90"/>
      <c r="F486" s="90"/>
      <c r="I486" s="69"/>
    </row>
    <row r="487">
      <c r="B487" s="126"/>
      <c r="D487" s="90"/>
      <c r="E487" s="90"/>
      <c r="F487" s="90"/>
      <c r="I487" s="69"/>
    </row>
    <row r="488">
      <c r="B488" s="126"/>
      <c r="D488" s="90"/>
      <c r="E488" s="90"/>
      <c r="F488" s="90"/>
      <c r="I488" s="69"/>
    </row>
    <row r="489">
      <c r="B489" s="126"/>
      <c r="D489" s="90"/>
      <c r="E489" s="90"/>
      <c r="F489" s="90"/>
      <c r="I489" s="69"/>
    </row>
    <row r="490">
      <c r="B490" s="126"/>
      <c r="D490" s="90"/>
      <c r="E490" s="90"/>
      <c r="F490" s="90"/>
      <c r="I490" s="69"/>
    </row>
    <row r="491">
      <c r="B491" s="126"/>
      <c r="D491" s="90"/>
      <c r="E491" s="90"/>
      <c r="F491" s="90"/>
      <c r="I491" s="69"/>
    </row>
    <row r="492">
      <c r="B492" s="126"/>
      <c r="D492" s="90"/>
      <c r="E492" s="90"/>
      <c r="F492" s="90"/>
      <c r="I492" s="69"/>
    </row>
    <row r="493">
      <c r="B493" s="126"/>
      <c r="D493" s="90"/>
      <c r="E493" s="90"/>
      <c r="F493" s="90"/>
      <c r="I493" s="69"/>
    </row>
    <row r="494">
      <c r="B494" s="126"/>
      <c r="D494" s="90"/>
      <c r="E494" s="90"/>
      <c r="F494" s="90"/>
      <c r="I494" s="69"/>
    </row>
    <row r="495">
      <c r="B495" s="126"/>
      <c r="D495" s="90"/>
      <c r="E495" s="90"/>
      <c r="F495" s="90"/>
      <c r="I495" s="69"/>
    </row>
    <row r="496">
      <c r="B496" s="126"/>
      <c r="D496" s="90"/>
      <c r="E496" s="90"/>
      <c r="F496" s="90"/>
      <c r="I496" s="69"/>
    </row>
    <row r="497">
      <c r="B497" s="126"/>
      <c r="D497" s="90"/>
      <c r="E497" s="90"/>
      <c r="F497" s="90"/>
      <c r="I497" s="69"/>
    </row>
    <row r="498">
      <c r="B498" s="126"/>
      <c r="D498" s="90"/>
      <c r="E498" s="90"/>
      <c r="F498" s="90"/>
      <c r="I498" s="69"/>
    </row>
    <row r="499">
      <c r="B499" s="126"/>
      <c r="D499" s="90"/>
      <c r="E499" s="90"/>
      <c r="F499" s="90"/>
      <c r="I499" s="69"/>
    </row>
    <row r="500">
      <c r="B500" s="126"/>
      <c r="D500" s="90"/>
      <c r="E500" s="90"/>
      <c r="F500" s="90"/>
      <c r="I500" s="69"/>
    </row>
    <row r="501">
      <c r="B501" s="126"/>
      <c r="D501" s="90"/>
      <c r="E501" s="90"/>
      <c r="F501" s="90"/>
      <c r="I501" s="69"/>
    </row>
    <row r="502">
      <c r="B502" s="126"/>
      <c r="D502" s="90"/>
      <c r="E502" s="90"/>
      <c r="F502" s="90"/>
      <c r="I502" s="69"/>
    </row>
    <row r="503">
      <c r="B503" s="126"/>
      <c r="D503" s="90"/>
      <c r="E503" s="90"/>
      <c r="F503" s="90"/>
      <c r="I503" s="69"/>
    </row>
    <row r="504">
      <c r="B504" s="126"/>
      <c r="D504" s="90"/>
      <c r="E504" s="90"/>
      <c r="F504" s="90"/>
      <c r="I504" s="69"/>
    </row>
    <row r="505">
      <c r="B505" s="126"/>
      <c r="D505" s="90"/>
      <c r="E505" s="90"/>
      <c r="F505" s="90"/>
      <c r="I505" s="69"/>
    </row>
    <row r="506">
      <c r="B506" s="126"/>
      <c r="D506" s="90"/>
      <c r="E506" s="90"/>
      <c r="F506" s="90"/>
      <c r="I506" s="69"/>
    </row>
    <row r="507">
      <c r="B507" s="126"/>
      <c r="D507" s="90"/>
      <c r="E507" s="90"/>
      <c r="F507" s="90"/>
      <c r="I507" s="69"/>
    </row>
    <row r="508">
      <c r="B508" s="126"/>
      <c r="D508" s="90"/>
      <c r="E508" s="90"/>
      <c r="F508" s="90"/>
      <c r="I508" s="69"/>
    </row>
    <row r="509">
      <c r="B509" s="126"/>
      <c r="D509" s="90"/>
      <c r="E509" s="90"/>
      <c r="F509" s="90"/>
      <c r="I509" s="69"/>
    </row>
    <row r="510">
      <c r="B510" s="126"/>
      <c r="D510" s="90"/>
      <c r="E510" s="90"/>
      <c r="F510" s="90"/>
      <c r="I510" s="69"/>
    </row>
    <row r="511">
      <c r="B511" s="126"/>
      <c r="D511" s="90"/>
      <c r="E511" s="90"/>
      <c r="F511" s="90"/>
      <c r="I511" s="69"/>
    </row>
    <row r="512">
      <c r="B512" s="126"/>
      <c r="D512" s="90"/>
      <c r="E512" s="90"/>
      <c r="F512" s="90"/>
      <c r="I512" s="69"/>
    </row>
    <row r="513">
      <c r="B513" s="126"/>
      <c r="D513" s="90"/>
      <c r="E513" s="90"/>
      <c r="F513" s="90"/>
      <c r="I513" s="69"/>
    </row>
    <row r="514">
      <c r="B514" s="126"/>
      <c r="D514" s="90"/>
      <c r="E514" s="90"/>
      <c r="F514" s="90"/>
      <c r="I514" s="69"/>
    </row>
    <row r="515">
      <c r="B515" s="126"/>
      <c r="D515" s="90"/>
      <c r="E515" s="90"/>
      <c r="F515" s="90"/>
      <c r="I515" s="69"/>
    </row>
    <row r="516">
      <c r="B516" s="126"/>
      <c r="D516" s="90"/>
      <c r="E516" s="90"/>
      <c r="F516" s="90"/>
      <c r="I516" s="69"/>
    </row>
    <row r="517">
      <c r="B517" s="126"/>
      <c r="D517" s="90"/>
      <c r="E517" s="90"/>
      <c r="F517" s="90"/>
      <c r="I517" s="69"/>
    </row>
    <row r="518">
      <c r="B518" s="126"/>
      <c r="D518" s="90"/>
      <c r="E518" s="90"/>
      <c r="F518" s="90"/>
      <c r="I518" s="69"/>
    </row>
    <row r="519">
      <c r="B519" s="126"/>
      <c r="D519" s="90"/>
      <c r="E519" s="90"/>
      <c r="F519" s="90"/>
      <c r="I519" s="69"/>
    </row>
    <row r="520">
      <c r="B520" s="126"/>
      <c r="D520" s="90"/>
      <c r="E520" s="90"/>
      <c r="F520" s="90"/>
      <c r="I520" s="69"/>
    </row>
    <row r="521">
      <c r="B521" s="126"/>
      <c r="D521" s="90"/>
      <c r="E521" s="90"/>
      <c r="F521" s="90"/>
      <c r="I521" s="69"/>
    </row>
    <row r="522">
      <c r="B522" s="126"/>
      <c r="D522" s="90"/>
      <c r="E522" s="90"/>
      <c r="F522" s="90"/>
      <c r="I522" s="69"/>
    </row>
    <row r="523">
      <c r="B523" s="126"/>
      <c r="D523" s="90"/>
      <c r="E523" s="90"/>
      <c r="F523" s="90"/>
      <c r="I523" s="69"/>
    </row>
    <row r="524">
      <c r="B524" s="126"/>
      <c r="D524" s="90"/>
      <c r="E524" s="90"/>
      <c r="F524" s="90"/>
      <c r="I524" s="69"/>
    </row>
    <row r="525">
      <c r="B525" s="126"/>
      <c r="D525" s="90"/>
      <c r="E525" s="90"/>
      <c r="F525" s="90"/>
      <c r="I525" s="69"/>
    </row>
    <row r="526">
      <c r="B526" s="126"/>
      <c r="D526" s="90"/>
      <c r="E526" s="90"/>
      <c r="F526" s="90"/>
      <c r="I526" s="69"/>
    </row>
    <row r="527">
      <c r="B527" s="126"/>
      <c r="D527" s="90"/>
      <c r="E527" s="90"/>
      <c r="F527" s="90"/>
      <c r="I527" s="69"/>
    </row>
    <row r="528">
      <c r="B528" s="126"/>
      <c r="D528" s="90"/>
      <c r="E528" s="90"/>
      <c r="F528" s="90"/>
      <c r="I528" s="69"/>
    </row>
    <row r="529">
      <c r="B529" s="126"/>
      <c r="D529" s="90"/>
      <c r="E529" s="90"/>
      <c r="F529" s="90"/>
      <c r="I529" s="69"/>
    </row>
    <row r="530">
      <c r="B530" s="126"/>
      <c r="D530" s="90"/>
      <c r="E530" s="90"/>
      <c r="F530" s="90"/>
      <c r="I530" s="69"/>
    </row>
    <row r="531">
      <c r="B531" s="126"/>
      <c r="D531" s="90"/>
      <c r="E531" s="90"/>
      <c r="F531" s="90"/>
      <c r="I531" s="69"/>
    </row>
    <row r="532">
      <c r="B532" s="126"/>
      <c r="D532" s="90"/>
      <c r="E532" s="90"/>
      <c r="F532" s="90"/>
      <c r="I532" s="69"/>
    </row>
    <row r="533">
      <c r="B533" s="126"/>
      <c r="D533" s="90"/>
      <c r="E533" s="90"/>
      <c r="F533" s="90"/>
      <c r="I533" s="69"/>
    </row>
    <row r="534">
      <c r="B534" s="126"/>
      <c r="D534" s="90"/>
      <c r="E534" s="90"/>
      <c r="F534" s="90"/>
      <c r="I534" s="69"/>
    </row>
    <row r="535">
      <c r="B535" s="126"/>
      <c r="D535" s="90"/>
      <c r="E535" s="90"/>
      <c r="F535" s="90"/>
      <c r="I535" s="69"/>
    </row>
    <row r="536">
      <c r="B536" s="126"/>
      <c r="D536" s="90"/>
      <c r="E536" s="90"/>
      <c r="F536" s="90"/>
      <c r="I536" s="69"/>
    </row>
    <row r="537">
      <c r="B537" s="126"/>
      <c r="D537" s="90"/>
      <c r="E537" s="90"/>
      <c r="F537" s="90"/>
      <c r="I537" s="69"/>
    </row>
    <row r="538">
      <c r="B538" s="126"/>
      <c r="D538" s="90"/>
      <c r="E538" s="90"/>
      <c r="F538" s="90"/>
      <c r="I538" s="69"/>
    </row>
    <row r="539">
      <c r="B539" s="126"/>
      <c r="D539" s="90"/>
      <c r="E539" s="90"/>
      <c r="F539" s="90"/>
      <c r="I539" s="69"/>
    </row>
    <row r="540">
      <c r="B540" s="126"/>
      <c r="D540" s="90"/>
      <c r="E540" s="90"/>
      <c r="F540" s="90"/>
      <c r="I540" s="69"/>
    </row>
    <row r="541">
      <c r="B541" s="126"/>
      <c r="D541" s="90"/>
      <c r="E541" s="90"/>
      <c r="F541" s="90"/>
      <c r="I541" s="69"/>
    </row>
    <row r="542">
      <c r="B542" s="126"/>
      <c r="D542" s="90"/>
      <c r="E542" s="90"/>
      <c r="F542" s="90"/>
      <c r="I542" s="69"/>
    </row>
    <row r="543">
      <c r="B543" s="126"/>
      <c r="D543" s="90"/>
      <c r="E543" s="90"/>
      <c r="F543" s="90"/>
      <c r="I543" s="69"/>
    </row>
    <row r="544">
      <c r="B544" s="126"/>
      <c r="D544" s="90"/>
      <c r="E544" s="90"/>
      <c r="F544" s="90"/>
      <c r="I544" s="69"/>
    </row>
    <row r="545">
      <c r="B545" s="126"/>
      <c r="D545" s="90"/>
      <c r="E545" s="90"/>
      <c r="F545" s="90"/>
      <c r="I545" s="69"/>
    </row>
    <row r="546">
      <c r="B546" s="126"/>
      <c r="D546" s="90"/>
      <c r="E546" s="90"/>
      <c r="F546" s="90"/>
      <c r="I546" s="69"/>
    </row>
    <row r="547">
      <c r="B547" s="126"/>
      <c r="D547" s="90"/>
      <c r="E547" s="90"/>
      <c r="F547" s="90"/>
      <c r="I547" s="69"/>
    </row>
    <row r="548">
      <c r="B548" s="126"/>
      <c r="D548" s="90"/>
      <c r="E548" s="90"/>
      <c r="F548" s="90"/>
      <c r="I548" s="69"/>
    </row>
    <row r="549">
      <c r="B549" s="126"/>
      <c r="D549" s="90"/>
      <c r="E549" s="90"/>
      <c r="F549" s="90"/>
      <c r="I549" s="69"/>
    </row>
    <row r="550">
      <c r="B550" s="126"/>
      <c r="D550" s="90"/>
      <c r="E550" s="90"/>
      <c r="F550" s="90"/>
      <c r="I550" s="69"/>
    </row>
    <row r="551">
      <c r="B551" s="126"/>
      <c r="D551" s="90"/>
      <c r="E551" s="90"/>
      <c r="F551" s="90"/>
      <c r="I551" s="69"/>
    </row>
    <row r="552">
      <c r="B552" s="126"/>
      <c r="D552" s="90"/>
      <c r="E552" s="90"/>
      <c r="F552" s="90"/>
      <c r="I552" s="69"/>
    </row>
    <row r="553">
      <c r="B553" s="126"/>
      <c r="D553" s="90"/>
      <c r="E553" s="90"/>
      <c r="F553" s="90"/>
      <c r="I553" s="69"/>
    </row>
    <row r="554">
      <c r="B554" s="126"/>
      <c r="D554" s="90"/>
      <c r="E554" s="90"/>
      <c r="F554" s="90"/>
      <c r="I554" s="69"/>
    </row>
    <row r="555">
      <c r="B555" s="126"/>
      <c r="D555" s="90"/>
      <c r="E555" s="90"/>
      <c r="F555" s="90"/>
      <c r="I555" s="69"/>
    </row>
    <row r="556">
      <c r="B556" s="126"/>
      <c r="D556" s="90"/>
      <c r="E556" s="90"/>
      <c r="F556" s="90"/>
      <c r="I556" s="69"/>
    </row>
    <row r="557">
      <c r="B557" s="126"/>
      <c r="D557" s="90"/>
      <c r="E557" s="90"/>
      <c r="F557" s="90"/>
      <c r="I557" s="69"/>
    </row>
    <row r="558">
      <c r="B558" s="126"/>
      <c r="D558" s="90"/>
      <c r="E558" s="90"/>
      <c r="F558" s="90"/>
      <c r="I558" s="69"/>
    </row>
    <row r="559">
      <c r="B559" s="126"/>
      <c r="D559" s="90"/>
      <c r="E559" s="90"/>
      <c r="F559" s="90"/>
      <c r="I559" s="69"/>
    </row>
    <row r="560">
      <c r="B560" s="126"/>
      <c r="D560" s="90"/>
      <c r="E560" s="90"/>
      <c r="F560" s="90"/>
      <c r="I560" s="69"/>
    </row>
    <row r="561">
      <c r="B561" s="126"/>
      <c r="D561" s="90"/>
      <c r="E561" s="90"/>
      <c r="F561" s="90"/>
      <c r="I561" s="69"/>
    </row>
    <row r="562">
      <c r="B562" s="126"/>
      <c r="D562" s="90"/>
      <c r="E562" s="90"/>
      <c r="F562" s="90"/>
      <c r="I562" s="69"/>
    </row>
    <row r="563">
      <c r="B563" s="126"/>
      <c r="D563" s="90"/>
      <c r="E563" s="90"/>
      <c r="F563" s="90"/>
      <c r="I563" s="69"/>
    </row>
    <row r="564">
      <c r="B564" s="126"/>
      <c r="D564" s="90"/>
      <c r="E564" s="90"/>
      <c r="F564" s="90"/>
      <c r="I564" s="69"/>
    </row>
    <row r="565">
      <c r="B565" s="126"/>
      <c r="D565" s="90"/>
      <c r="E565" s="90"/>
      <c r="F565" s="90"/>
      <c r="I565" s="69"/>
    </row>
    <row r="566">
      <c r="B566" s="126"/>
      <c r="D566" s="90"/>
      <c r="E566" s="90"/>
      <c r="F566" s="90"/>
      <c r="I566" s="69"/>
    </row>
    <row r="567">
      <c r="B567" s="126"/>
      <c r="D567" s="90"/>
      <c r="E567" s="90"/>
      <c r="F567" s="90"/>
      <c r="I567" s="69"/>
    </row>
    <row r="568">
      <c r="B568" s="126"/>
      <c r="D568" s="90"/>
      <c r="E568" s="90"/>
      <c r="F568" s="90"/>
      <c r="I568" s="69"/>
    </row>
    <row r="569">
      <c r="B569" s="126"/>
      <c r="D569" s="90"/>
      <c r="E569" s="90"/>
      <c r="F569" s="90"/>
      <c r="I569" s="69"/>
    </row>
    <row r="570">
      <c r="B570" s="126"/>
      <c r="D570" s="90"/>
      <c r="E570" s="90"/>
      <c r="F570" s="90"/>
      <c r="I570" s="69"/>
    </row>
    <row r="571">
      <c r="B571" s="126"/>
      <c r="D571" s="90"/>
      <c r="E571" s="90"/>
      <c r="F571" s="90"/>
      <c r="I571" s="69"/>
    </row>
    <row r="572">
      <c r="B572" s="126"/>
      <c r="D572" s="90"/>
      <c r="E572" s="90"/>
      <c r="F572" s="90"/>
      <c r="I572" s="69"/>
    </row>
    <row r="573">
      <c r="B573" s="126"/>
      <c r="D573" s="90"/>
      <c r="E573" s="90"/>
      <c r="F573" s="90"/>
      <c r="I573" s="69"/>
    </row>
    <row r="574">
      <c r="B574" s="126"/>
      <c r="D574" s="90"/>
      <c r="E574" s="90"/>
      <c r="F574" s="90"/>
      <c r="I574" s="69"/>
    </row>
    <row r="575">
      <c r="B575" s="126"/>
      <c r="D575" s="90"/>
      <c r="E575" s="90"/>
      <c r="F575" s="90"/>
      <c r="I575" s="69"/>
    </row>
    <row r="576">
      <c r="B576" s="126"/>
      <c r="D576" s="90"/>
      <c r="E576" s="90"/>
      <c r="F576" s="90"/>
      <c r="I576" s="69"/>
    </row>
    <row r="577">
      <c r="B577" s="126"/>
      <c r="D577" s="90"/>
      <c r="E577" s="90"/>
      <c r="F577" s="90"/>
      <c r="I577" s="69"/>
    </row>
    <row r="578">
      <c r="B578" s="126"/>
      <c r="D578" s="90"/>
      <c r="E578" s="90"/>
      <c r="F578" s="90"/>
      <c r="I578" s="69"/>
    </row>
    <row r="579">
      <c r="B579" s="126"/>
      <c r="D579" s="90"/>
      <c r="E579" s="90"/>
      <c r="F579" s="90"/>
      <c r="I579" s="69"/>
    </row>
    <row r="580">
      <c r="B580" s="126"/>
      <c r="D580" s="90"/>
      <c r="E580" s="90"/>
      <c r="F580" s="90"/>
      <c r="I580" s="69"/>
    </row>
    <row r="581">
      <c r="B581" s="126"/>
      <c r="D581" s="90"/>
      <c r="E581" s="90"/>
      <c r="F581" s="90"/>
      <c r="I581" s="69"/>
    </row>
    <row r="582">
      <c r="B582" s="126"/>
      <c r="D582" s="90"/>
      <c r="E582" s="90"/>
      <c r="F582" s="90"/>
      <c r="I582" s="69"/>
    </row>
    <row r="583">
      <c r="B583" s="126"/>
      <c r="D583" s="90"/>
      <c r="E583" s="90"/>
      <c r="F583" s="90"/>
      <c r="I583" s="69"/>
    </row>
    <row r="584">
      <c r="B584" s="126"/>
      <c r="D584" s="90"/>
      <c r="E584" s="90"/>
      <c r="F584" s="90"/>
      <c r="I584" s="69"/>
    </row>
    <row r="585">
      <c r="B585" s="126"/>
      <c r="D585" s="90"/>
      <c r="E585" s="90"/>
      <c r="F585" s="90"/>
      <c r="I585" s="69"/>
    </row>
    <row r="586">
      <c r="B586" s="126"/>
      <c r="D586" s="90"/>
      <c r="E586" s="90"/>
      <c r="F586" s="90"/>
      <c r="I586" s="69"/>
    </row>
    <row r="587">
      <c r="B587" s="126"/>
      <c r="D587" s="90"/>
      <c r="E587" s="90"/>
      <c r="F587" s="90"/>
      <c r="I587" s="69"/>
    </row>
    <row r="588">
      <c r="B588" s="126"/>
      <c r="D588" s="90"/>
      <c r="E588" s="90"/>
      <c r="F588" s="90"/>
      <c r="I588" s="69"/>
    </row>
    <row r="589">
      <c r="B589" s="126"/>
      <c r="D589" s="90"/>
      <c r="E589" s="90"/>
      <c r="F589" s="90"/>
      <c r="I589" s="69"/>
    </row>
    <row r="590">
      <c r="B590" s="126"/>
      <c r="D590" s="90"/>
      <c r="E590" s="90"/>
      <c r="F590" s="90"/>
      <c r="I590" s="69"/>
    </row>
    <row r="591">
      <c r="B591" s="126"/>
      <c r="D591" s="90"/>
      <c r="E591" s="90"/>
      <c r="F591" s="90"/>
      <c r="I591" s="69"/>
    </row>
    <row r="592">
      <c r="B592" s="126"/>
      <c r="D592" s="90"/>
      <c r="E592" s="90"/>
      <c r="F592" s="90"/>
      <c r="I592" s="69"/>
    </row>
    <row r="593">
      <c r="B593" s="126"/>
      <c r="D593" s="90"/>
      <c r="E593" s="90"/>
      <c r="F593" s="90"/>
      <c r="I593" s="69"/>
    </row>
    <row r="594">
      <c r="B594" s="126"/>
      <c r="D594" s="90"/>
      <c r="E594" s="90"/>
      <c r="F594" s="90"/>
      <c r="I594" s="69"/>
    </row>
    <row r="595">
      <c r="B595" s="126"/>
      <c r="D595" s="90"/>
      <c r="E595" s="90"/>
      <c r="F595" s="90"/>
      <c r="I595" s="69"/>
    </row>
    <row r="596">
      <c r="B596" s="126"/>
      <c r="D596" s="90"/>
      <c r="E596" s="90"/>
      <c r="F596" s="90"/>
      <c r="I596" s="69"/>
    </row>
    <row r="597">
      <c r="B597" s="126"/>
      <c r="D597" s="90"/>
      <c r="E597" s="90"/>
      <c r="F597" s="90"/>
      <c r="I597" s="69"/>
    </row>
    <row r="598">
      <c r="B598" s="126"/>
      <c r="D598" s="90"/>
      <c r="E598" s="90"/>
      <c r="F598" s="90"/>
      <c r="I598" s="69"/>
    </row>
    <row r="599">
      <c r="B599" s="126"/>
      <c r="D599" s="90"/>
      <c r="E599" s="90"/>
      <c r="F599" s="90"/>
      <c r="I599" s="69"/>
    </row>
    <row r="600">
      <c r="B600" s="126"/>
      <c r="D600" s="90"/>
      <c r="E600" s="90"/>
      <c r="F600" s="90"/>
      <c r="I600" s="69"/>
    </row>
    <row r="601">
      <c r="B601" s="126"/>
      <c r="D601" s="90"/>
      <c r="E601" s="90"/>
      <c r="F601" s="90"/>
      <c r="I601" s="69"/>
    </row>
    <row r="602">
      <c r="B602" s="126"/>
      <c r="D602" s="90"/>
      <c r="E602" s="90"/>
      <c r="F602" s="90"/>
      <c r="I602" s="69"/>
    </row>
    <row r="603">
      <c r="B603" s="126"/>
      <c r="D603" s="90"/>
      <c r="E603" s="90"/>
      <c r="F603" s="90"/>
      <c r="I603" s="69"/>
    </row>
    <row r="604">
      <c r="B604" s="126"/>
      <c r="D604" s="90"/>
      <c r="E604" s="90"/>
      <c r="F604" s="90"/>
      <c r="I604" s="69"/>
    </row>
    <row r="605">
      <c r="B605" s="126"/>
      <c r="D605" s="90"/>
      <c r="E605" s="90"/>
      <c r="F605" s="90"/>
      <c r="I605" s="69"/>
    </row>
    <row r="606">
      <c r="B606" s="126"/>
      <c r="D606" s="90"/>
      <c r="E606" s="90"/>
      <c r="F606" s="90"/>
      <c r="I606" s="69"/>
    </row>
    <row r="607">
      <c r="B607" s="126"/>
      <c r="D607" s="90"/>
      <c r="E607" s="90"/>
      <c r="F607" s="90"/>
      <c r="I607" s="69"/>
    </row>
    <row r="608">
      <c r="B608" s="126"/>
      <c r="D608" s="90"/>
      <c r="E608" s="90"/>
      <c r="F608" s="90"/>
      <c r="I608" s="69"/>
    </row>
    <row r="609">
      <c r="B609" s="126"/>
      <c r="D609" s="90"/>
      <c r="E609" s="90"/>
      <c r="F609" s="90"/>
      <c r="I609" s="69"/>
    </row>
    <row r="610">
      <c r="B610" s="126"/>
      <c r="D610" s="90"/>
      <c r="E610" s="90"/>
      <c r="F610" s="90"/>
      <c r="I610" s="69"/>
    </row>
    <row r="611">
      <c r="B611" s="126"/>
      <c r="D611" s="90"/>
      <c r="E611" s="90"/>
      <c r="F611" s="90"/>
      <c r="I611" s="69"/>
    </row>
    <row r="612">
      <c r="B612" s="126"/>
      <c r="D612" s="90"/>
      <c r="E612" s="90"/>
      <c r="F612" s="90"/>
      <c r="I612" s="69"/>
    </row>
    <row r="613">
      <c r="B613" s="126"/>
      <c r="D613" s="90"/>
      <c r="E613" s="90"/>
      <c r="F613" s="90"/>
      <c r="I613" s="69"/>
    </row>
    <row r="614">
      <c r="B614" s="126"/>
      <c r="D614" s="90"/>
      <c r="E614" s="90"/>
      <c r="F614" s="90"/>
      <c r="I614" s="69"/>
    </row>
    <row r="615">
      <c r="B615" s="126"/>
      <c r="D615" s="90"/>
      <c r="E615" s="90"/>
      <c r="F615" s="90"/>
      <c r="I615" s="69"/>
    </row>
    <row r="616">
      <c r="B616" s="126"/>
      <c r="D616" s="90"/>
      <c r="E616" s="90"/>
      <c r="F616" s="90"/>
      <c r="I616" s="69"/>
    </row>
    <row r="617">
      <c r="B617" s="126"/>
      <c r="D617" s="90"/>
      <c r="E617" s="90"/>
      <c r="F617" s="90"/>
      <c r="I617" s="69"/>
    </row>
    <row r="618">
      <c r="B618" s="126"/>
      <c r="D618" s="90"/>
      <c r="E618" s="90"/>
      <c r="F618" s="90"/>
      <c r="I618" s="69"/>
    </row>
    <row r="619">
      <c r="B619" s="126"/>
      <c r="D619" s="90"/>
      <c r="E619" s="90"/>
      <c r="F619" s="90"/>
      <c r="I619" s="69"/>
    </row>
    <row r="620">
      <c r="B620" s="126"/>
      <c r="D620" s="90"/>
      <c r="E620" s="90"/>
      <c r="F620" s="90"/>
      <c r="I620" s="69"/>
    </row>
    <row r="621">
      <c r="B621" s="126"/>
      <c r="D621" s="90"/>
      <c r="E621" s="90"/>
      <c r="F621" s="90"/>
      <c r="I621" s="69"/>
    </row>
    <row r="622">
      <c r="B622" s="126"/>
      <c r="D622" s="90"/>
      <c r="E622" s="90"/>
      <c r="F622" s="90"/>
      <c r="I622" s="69"/>
    </row>
    <row r="623">
      <c r="B623" s="126"/>
      <c r="D623" s="90"/>
      <c r="E623" s="90"/>
      <c r="F623" s="90"/>
      <c r="I623" s="69"/>
    </row>
    <row r="624">
      <c r="B624" s="126"/>
      <c r="D624" s="90"/>
      <c r="E624" s="90"/>
      <c r="F624" s="90"/>
      <c r="I624" s="69"/>
    </row>
    <row r="625">
      <c r="B625" s="126"/>
      <c r="D625" s="90"/>
      <c r="E625" s="90"/>
      <c r="F625" s="90"/>
      <c r="I625" s="69"/>
    </row>
    <row r="626">
      <c r="B626" s="126"/>
      <c r="D626" s="90"/>
      <c r="E626" s="90"/>
      <c r="F626" s="90"/>
      <c r="I626" s="69"/>
    </row>
    <row r="627">
      <c r="B627" s="126"/>
      <c r="D627" s="90"/>
      <c r="E627" s="90"/>
      <c r="F627" s="90"/>
      <c r="I627" s="69"/>
    </row>
    <row r="628">
      <c r="B628" s="126"/>
      <c r="D628" s="90"/>
      <c r="E628" s="90"/>
      <c r="F628" s="90"/>
      <c r="I628" s="69"/>
    </row>
    <row r="629">
      <c r="B629" s="126"/>
      <c r="D629" s="90"/>
      <c r="E629" s="90"/>
      <c r="F629" s="90"/>
      <c r="I629" s="69"/>
    </row>
    <row r="630">
      <c r="B630" s="126"/>
      <c r="D630" s="90"/>
      <c r="E630" s="90"/>
      <c r="F630" s="90"/>
      <c r="I630" s="69"/>
    </row>
    <row r="631">
      <c r="B631" s="126"/>
      <c r="D631" s="90"/>
      <c r="E631" s="90"/>
      <c r="F631" s="90"/>
      <c r="I631" s="69"/>
    </row>
    <row r="632">
      <c r="B632" s="126"/>
      <c r="D632" s="90"/>
      <c r="E632" s="90"/>
      <c r="F632" s="90"/>
      <c r="I632" s="69"/>
    </row>
    <row r="633">
      <c r="B633" s="126"/>
      <c r="D633" s="90"/>
      <c r="E633" s="90"/>
      <c r="F633" s="90"/>
      <c r="I633" s="69"/>
    </row>
    <row r="634">
      <c r="B634" s="126"/>
      <c r="D634" s="90"/>
      <c r="E634" s="90"/>
      <c r="F634" s="90"/>
      <c r="I634" s="69"/>
    </row>
    <row r="635">
      <c r="B635" s="126"/>
      <c r="D635" s="90"/>
      <c r="E635" s="90"/>
      <c r="F635" s="90"/>
      <c r="I635" s="69"/>
    </row>
    <row r="636">
      <c r="B636" s="126"/>
      <c r="D636" s="90"/>
      <c r="E636" s="90"/>
      <c r="F636" s="90"/>
      <c r="I636" s="69"/>
    </row>
    <row r="637">
      <c r="B637" s="126"/>
      <c r="D637" s="90"/>
      <c r="E637" s="90"/>
      <c r="F637" s="90"/>
      <c r="I637" s="69"/>
    </row>
    <row r="638">
      <c r="B638" s="126"/>
      <c r="D638" s="90"/>
      <c r="E638" s="90"/>
      <c r="F638" s="90"/>
      <c r="I638" s="69"/>
    </row>
    <row r="639">
      <c r="B639" s="126"/>
      <c r="D639" s="90"/>
      <c r="E639" s="90"/>
      <c r="F639" s="90"/>
      <c r="I639" s="69"/>
    </row>
    <row r="640">
      <c r="B640" s="126"/>
      <c r="D640" s="90"/>
      <c r="E640" s="90"/>
      <c r="F640" s="90"/>
      <c r="I640" s="69"/>
    </row>
    <row r="641">
      <c r="B641" s="126"/>
      <c r="D641" s="90"/>
      <c r="E641" s="90"/>
      <c r="F641" s="90"/>
      <c r="I641" s="69"/>
    </row>
    <row r="642">
      <c r="B642" s="126"/>
      <c r="D642" s="90"/>
      <c r="E642" s="90"/>
      <c r="F642" s="90"/>
      <c r="I642" s="69"/>
    </row>
    <row r="643">
      <c r="B643" s="126"/>
      <c r="D643" s="90"/>
      <c r="E643" s="90"/>
      <c r="F643" s="90"/>
      <c r="I643" s="69"/>
    </row>
    <row r="644">
      <c r="B644" s="126"/>
      <c r="D644" s="90"/>
      <c r="E644" s="90"/>
      <c r="F644" s="90"/>
      <c r="I644" s="69"/>
    </row>
    <row r="645">
      <c r="B645" s="126"/>
      <c r="D645" s="90"/>
      <c r="E645" s="90"/>
      <c r="F645" s="90"/>
      <c r="I645" s="69"/>
    </row>
    <row r="646">
      <c r="B646" s="126"/>
      <c r="D646" s="90"/>
      <c r="E646" s="90"/>
      <c r="F646" s="90"/>
      <c r="I646" s="69"/>
    </row>
    <row r="647">
      <c r="B647" s="126"/>
      <c r="D647" s="90"/>
      <c r="E647" s="90"/>
      <c r="F647" s="90"/>
      <c r="I647" s="69"/>
    </row>
    <row r="648">
      <c r="B648" s="126"/>
      <c r="D648" s="90"/>
      <c r="E648" s="90"/>
      <c r="F648" s="90"/>
      <c r="I648" s="69"/>
    </row>
    <row r="649">
      <c r="B649" s="126"/>
      <c r="D649" s="90"/>
      <c r="E649" s="90"/>
      <c r="F649" s="90"/>
      <c r="I649" s="69"/>
    </row>
    <row r="650">
      <c r="B650" s="126"/>
      <c r="D650" s="90"/>
      <c r="E650" s="90"/>
      <c r="F650" s="90"/>
      <c r="I650" s="69"/>
    </row>
    <row r="651">
      <c r="B651" s="126"/>
      <c r="D651" s="90"/>
      <c r="E651" s="90"/>
      <c r="F651" s="90"/>
      <c r="I651" s="69"/>
    </row>
    <row r="652">
      <c r="B652" s="126"/>
      <c r="D652" s="90"/>
      <c r="E652" s="90"/>
      <c r="F652" s="90"/>
      <c r="I652" s="69"/>
    </row>
    <row r="653">
      <c r="B653" s="126"/>
      <c r="D653" s="90"/>
      <c r="E653" s="90"/>
      <c r="F653" s="90"/>
      <c r="I653" s="69"/>
    </row>
    <row r="654">
      <c r="B654" s="126"/>
      <c r="D654" s="90"/>
      <c r="E654" s="90"/>
      <c r="F654" s="90"/>
      <c r="I654" s="69"/>
    </row>
    <row r="655">
      <c r="B655" s="126"/>
      <c r="D655" s="90"/>
      <c r="E655" s="90"/>
      <c r="F655" s="90"/>
      <c r="I655" s="69"/>
    </row>
    <row r="656">
      <c r="B656" s="126"/>
      <c r="D656" s="90"/>
      <c r="E656" s="90"/>
      <c r="F656" s="90"/>
      <c r="I656" s="69"/>
    </row>
    <row r="657">
      <c r="B657" s="126"/>
      <c r="D657" s="90"/>
      <c r="E657" s="90"/>
      <c r="F657" s="90"/>
      <c r="I657" s="69"/>
    </row>
    <row r="658">
      <c r="B658" s="126"/>
      <c r="D658" s="90"/>
      <c r="E658" s="90"/>
      <c r="F658" s="90"/>
      <c r="I658" s="69"/>
    </row>
    <row r="659">
      <c r="B659" s="126"/>
      <c r="D659" s="90"/>
      <c r="E659" s="90"/>
      <c r="F659" s="90"/>
      <c r="I659" s="69"/>
    </row>
    <row r="660">
      <c r="B660" s="126"/>
      <c r="D660" s="90"/>
      <c r="E660" s="90"/>
      <c r="F660" s="90"/>
      <c r="I660" s="69"/>
    </row>
    <row r="661">
      <c r="B661" s="126"/>
      <c r="D661" s="90"/>
      <c r="E661" s="90"/>
      <c r="F661" s="90"/>
      <c r="I661" s="69"/>
    </row>
    <row r="662">
      <c r="B662" s="126"/>
      <c r="D662" s="90"/>
      <c r="E662" s="90"/>
      <c r="F662" s="90"/>
      <c r="I662" s="69"/>
    </row>
    <row r="663">
      <c r="B663" s="126"/>
      <c r="D663" s="90"/>
      <c r="E663" s="90"/>
      <c r="F663" s="90"/>
      <c r="I663" s="69"/>
    </row>
    <row r="664">
      <c r="B664" s="126"/>
      <c r="D664" s="90"/>
      <c r="E664" s="90"/>
      <c r="F664" s="90"/>
      <c r="I664" s="69"/>
    </row>
    <row r="665">
      <c r="B665" s="126"/>
      <c r="D665" s="90"/>
      <c r="E665" s="90"/>
      <c r="F665" s="90"/>
      <c r="I665" s="69"/>
    </row>
    <row r="666">
      <c r="B666" s="126"/>
      <c r="D666" s="90"/>
      <c r="E666" s="90"/>
      <c r="F666" s="90"/>
      <c r="I666" s="69"/>
    </row>
    <row r="667">
      <c r="B667" s="126"/>
      <c r="D667" s="90"/>
      <c r="E667" s="90"/>
      <c r="F667" s="90"/>
      <c r="I667" s="69"/>
    </row>
    <row r="668">
      <c r="B668" s="126"/>
      <c r="D668" s="90"/>
      <c r="E668" s="90"/>
      <c r="F668" s="90"/>
      <c r="I668" s="69"/>
    </row>
    <row r="669">
      <c r="B669" s="126"/>
      <c r="D669" s="90"/>
      <c r="E669" s="90"/>
      <c r="F669" s="90"/>
      <c r="I669" s="69"/>
    </row>
    <row r="670">
      <c r="B670" s="126"/>
      <c r="D670" s="90"/>
      <c r="E670" s="90"/>
      <c r="F670" s="90"/>
      <c r="I670" s="69"/>
    </row>
    <row r="671">
      <c r="B671" s="126"/>
      <c r="D671" s="90"/>
      <c r="E671" s="90"/>
      <c r="F671" s="90"/>
      <c r="I671" s="69"/>
    </row>
    <row r="672">
      <c r="B672" s="126"/>
      <c r="D672" s="90"/>
      <c r="E672" s="90"/>
      <c r="F672" s="90"/>
      <c r="I672" s="69"/>
    </row>
    <row r="673">
      <c r="B673" s="126"/>
      <c r="D673" s="90"/>
      <c r="E673" s="90"/>
      <c r="F673" s="90"/>
      <c r="I673" s="69"/>
    </row>
    <row r="674">
      <c r="B674" s="126"/>
      <c r="D674" s="90"/>
      <c r="E674" s="90"/>
      <c r="F674" s="90"/>
      <c r="I674" s="69"/>
    </row>
    <row r="675">
      <c r="B675" s="126"/>
      <c r="D675" s="90"/>
      <c r="E675" s="90"/>
      <c r="F675" s="90"/>
      <c r="I675" s="69"/>
    </row>
    <row r="676">
      <c r="B676" s="126"/>
      <c r="D676" s="90"/>
      <c r="E676" s="90"/>
      <c r="F676" s="90"/>
      <c r="I676" s="69"/>
    </row>
    <row r="677">
      <c r="B677" s="126"/>
      <c r="D677" s="90"/>
      <c r="E677" s="90"/>
      <c r="F677" s="90"/>
      <c r="I677" s="69"/>
    </row>
    <row r="678">
      <c r="B678" s="126"/>
      <c r="D678" s="90"/>
      <c r="E678" s="90"/>
      <c r="F678" s="90"/>
      <c r="I678" s="69"/>
    </row>
    <row r="679">
      <c r="B679" s="126"/>
      <c r="D679" s="90"/>
      <c r="E679" s="90"/>
      <c r="F679" s="90"/>
      <c r="I679" s="69"/>
    </row>
    <row r="680">
      <c r="B680" s="126"/>
      <c r="D680" s="90"/>
      <c r="E680" s="90"/>
      <c r="F680" s="90"/>
      <c r="I680" s="69"/>
    </row>
    <row r="681">
      <c r="B681" s="126"/>
      <c r="D681" s="90"/>
      <c r="E681" s="90"/>
      <c r="F681" s="90"/>
      <c r="I681" s="69"/>
    </row>
    <row r="682">
      <c r="B682" s="126"/>
      <c r="D682" s="90"/>
      <c r="E682" s="90"/>
      <c r="F682" s="90"/>
      <c r="I682" s="69"/>
    </row>
    <row r="683">
      <c r="B683" s="126"/>
      <c r="D683" s="90"/>
      <c r="E683" s="90"/>
      <c r="F683" s="90"/>
      <c r="I683" s="69"/>
    </row>
    <row r="684">
      <c r="B684" s="126"/>
      <c r="D684" s="90"/>
      <c r="E684" s="90"/>
      <c r="F684" s="90"/>
      <c r="I684" s="69"/>
    </row>
    <row r="685">
      <c r="B685" s="126"/>
      <c r="D685" s="90"/>
      <c r="E685" s="90"/>
      <c r="F685" s="90"/>
      <c r="I685" s="69"/>
    </row>
    <row r="686">
      <c r="B686" s="126"/>
      <c r="D686" s="90"/>
      <c r="E686" s="90"/>
      <c r="F686" s="90"/>
      <c r="I686" s="69"/>
    </row>
    <row r="687">
      <c r="B687" s="126"/>
      <c r="D687" s="90"/>
      <c r="E687" s="90"/>
      <c r="F687" s="90"/>
      <c r="I687" s="69"/>
    </row>
    <row r="688">
      <c r="B688" s="126"/>
      <c r="D688" s="90"/>
      <c r="E688" s="90"/>
      <c r="F688" s="90"/>
      <c r="I688" s="69"/>
    </row>
    <row r="689">
      <c r="B689" s="126"/>
      <c r="D689" s="90"/>
      <c r="E689" s="90"/>
      <c r="F689" s="90"/>
      <c r="I689" s="69"/>
    </row>
    <row r="690">
      <c r="B690" s="126"/>
      <c r="D690" s="90"/>
      <c r="E690" s="90"/>
      <c r="F690" s="90"/>
      <c r="I690" s="69"/>
    </row>
    <row r="691">
      <c r="B691" s="126"/>
      <c r="D691" s="90"/>
      <c r="E691" s="90"/>
      <c r="F691" s="90"/>
      <c r="I691" s="69"/>
    </row>
    <row r="692">
      <c r="B692" s="126"/>
      <c r="D692" s="90"/>
      <c r="E692" s="90"/>
      <c r="F692" s="90"/>
      <c r="I692" s="69"/>
    </row>
    <row r="693">
      <c r="B693" s="126"/>
      <c r="D693" s="90"/>
      <c r="E693" s="90"/>
      <c r="F693" s="90"/>
      <c r="I693" s="69"/>
    </row>
    <row r="694">
      <c r="B694" s="126"/>
      <c r="D694" s="90"/>
      <c r="E694" s="90"/>
      <c r="F694" s="90"/>
      <c r="I694" s="69"/>
    </row>
    <row r="695">
      <c r="B695" s="126"/>
      <c r="D695" s="90"/>
      <c r="E695" s="90"/>
      <c r="F695" s="90"/>
      <c r="I695" s="69"/>
    </row>
    <row r="696">
      <c r="B696" s="126"/>
      <c r="D696" s="90"/>
      <c r="E696" s="90"/>
      <c r="F696" s="90"/>
      <c r="I696" s="69"/>
    </row>
    <row r="697">
      <c r="B697" s="126"/>
      <c r="D697" s="90"/>
      <c r="E697" s="90"/>
      <c r="F697" s="90"/>
      <c r="I697" s="69"/>
    </row>
    <row r="698">
      <c r="B698" s="126"/>
      <c r="D698" s="90"/>
      <c r="E698" s="90"/>
      <c r="F698" s="90"/>
      <c r="I698" s="69"/>
    </row>
    <row r="699">
      <c r="B699" s="126"/>
      <c r="D699" s="90"/>
      <c r="E699" s="90"/>
      <c r="F699" s="90"/>
      <c r="I699" s="69"/>
    </row>
    <row r="700">
      <c r="B700" s="126"/>
      <c r="D700" s="90"/>
      <c r="E700" s="90"/>
      <c r="F700" s="90"/>
      <c r="I700" s="69"/>
    </row>
    <row r="701">
      <c r="B701" s="126"/>
      <c r="D701" s="90"/>
      <c r="E701" s="90"/>
      <c r="F701" s="90"/>
      <c r="I701" s="69"/>
    </row>
    <row r="702">
      <c r="B702" s="126"/>
      <c r="D702" s="90"/>
      <c r="E702" s="90"/>
      <c r="F702" s="90"/>
      <c r="I702" s="69"/>
    </row>
    <row r="703">
      <c r="B703" s="126"/>
      <c r="D703" s="90"/>
      <c r="E703" s="90"/>
      <c r="F703" s="90"/>
      <c r="I703" s="69"/>
    </row>
    <row r="704">
      <c r="B704" s="126"/>
      <c r="D704" s="90"/>
      <c r="E704" s="90"/>
      <c r="F704" s="90"/>
      <c r="I704" s="69"/>
    </row>
    <row r="705">
      <c r="B705" s="126"/>
      <c r="D705" s="90"/>
      <c r="E705" s="90"/>
      <c r="F705" s="90"/>
      <c r="I705" s="69"/>
    </row>
    <row r="706">
      <c r="B706" s="126"/>
      <c r="D706" s="90"/>
      <c r="E706" s="90"/>
      <c r="F706" s="90"/>
      <c r="I706" s="69"/>
    </row>
    <row r="707">
      <c r="B707" s="126"/>
      <c r="D707" s="90"/>
      <c r="E707" s="90"/>
      <c r="F707" s="90"/>
      <c r="I707" s="69"/>
    </row>
    <row r="708">
      <c r="B708" s="126"/>
      <c r="D708" s="90"/>
      <c r="E708" s="90"/>
      <c r="F708" s="90"/>
      <c r="I708" s="69"/>
    </row>
    <row r="709">
      <c r="B709" s="126"/>
      <c r="D709" s="90"/>
      <c r="E709" s="90"/>
      <c r="F709" s="90"/>
      <c r="I709" s="69"/>
    </row>
    <row r="710">
      <c r="B710" s="126"/>
      <c r="D710" s="90"/>
      <c r="E710" s="90"/>
      <c r="F710" s="90"/>
      <c r="I710" s="69"/>
    </row>
    <row r="711">
      <c r="B711" s="126"/>
      <c r="D711" s="90"/>
      <c r="E711" s="90"/>
      <c r="F711" s="90"/>
      <c r="I711" s="69"/>
    </row>
    <row r="712">
      <c r="B712" s="126"/>
      <c r="D712" s="90"/>
      <c r="E712" s="90"/>
      <c r="F712" s="90"/>
      <c r="I712" s="69"/>
    </row>
    <row r="713">
      <c r="B713" s="126"/>
      <c r="D713" s="90"/>
      <c r="E713" s="90"/>
      <c r="F713" s="90"/>
      <c r="I713" s="69"/>
    </row>
    <row r="714">
      <c r="B714" s="126"/>
      <c r="D714" s="90"/>
      <c r="E714" s="90"/>
      <c r="F714" s="90"/>
      <c r="I714" s="69"/>
    </row>
    <row r="715">
      <c r="B715" s="126"/>
      <c r="D715" s="90"/>
      <c r="E715" s="90"/>
      <c r="F715" s="90"/>
      <c r="I715" s="69"/>
    </row>
    <row r="716">
      <c r="B716" s="126"/>
      <c r="D716" s="90"/>
      <c r="E716" s="90"/>
      <c r="F716" s="90"/>
      <c r="I716" s="69"/>
    </row>
    <row r="717">
      <c r="B717" s="126"/>
      <c r="D717" s="90"/>
      <c r="E717" s="90"/>
      <c r="F717" s="90"/>
      <c r="I717" s="69"/>
    </row>
    <row r="718">
      <c r="B718" s="126"/>
      <c r="D718" s="90"/>
      <c r="E718" s="90"/>
      <c r="F718" s="90"/>
      <c r="I718" s="69"/>
    </row>
    <row r="719">
      <c r="B719" s="126"/>
      <c r="D719" s="90"/>
      <c r="E719" s="90"/>
      <c r="F719" s="90"/>
      <c r="I719" s="69"/>
    </row>
    <row r="720">
      <c r="B720" s="126"/>
      <c r="D720" s="90"/>
      <c r="E720" s="90"/>
      <c r="F720" s="90"/>
      <c r="I720" s="69"/>
    </row>
    <row r="721">
      <c r="B721" s="126"/>
      <c r="D721" s="90"/>
      <c r="E721" s="90"/>
      <c r="F721" s="90"/>
      <c r="I721" s="69"/>
    </row>
    <row r="722">
      <c r="B722" s="126"/>
      <c r="D722" s="90"/>
      <c r="E722" s="90"/>
      <c r="F722" s="90"/>
      <c r="I722" s="69"/>
    </row>
    <row r="723">
      <c r="B723" s="126"/>
      <c r="D723" s="90"/>
      <c r="E723" s="90"/>
      <c r="F723" s="90"/>
      <c r="I723" s="69"/>
    </row>
    <row r="724">
      <c r="B724" s="126"/>
      <c r="D724" s="90"/>
      <c r="E724" s="90"/>
      <c r="F724" s="90"/>
      <c r="I724" s="69"/>
    </row>
    <row r="725">
      <c r="B725" s="126"/>
      <c r="D725" s="90"/>
      <c r="E725" s="90"/>
      <c r="F725" s="90"/>
      <c r="I725" s="69"/>
    </row>
    <row r="726">
      <c r="B726" s="126"/>
      <c r="D726" s="90"/>
      <c r="E726" s="90"/>
      <c r="F726" s="90"/>
      <c r="I726" s="69"/>
    </row>
    <row r="727">
      <c r="B727" s="126"/>
      <c r="D727" s="90"/>
      <c r="E727" s="90"/>
      <c r="F727" s="90"/>
      <c r="I727" s="69"/>
    </row>
    <row r="728">
      <c r="B728" s="126"/>
      <c r="D728" s="90"/>
      <c r="E728" s="90"/>
      <c r="F728" s="90"/>
      <c r="I728" s="69"/>
    </row>
    <row r="729">
      <c r="B729" s="126"/>
      <c r="D729" s="90"/>
      <c r="E729" s="90"/>
      <c r="F729" s="90"/>
      <c r="I729" s="69"/>
    </row>
    <row r="730">
      <c r="B730" s="126"/>
      <c r="D730" s="90"/>
      <c r="E730" s="90"/>
      <c r="F730" s="90"/>
      <c r="I730" s="69"/>
    </row>
    <row r="731">
      <c r="B731" s="126"/>
      <c r="D731" s="90"/>
      <c r="E731" s="90"/>
      <c r="F731" s="90"/>
      <c r="I731" s="69"/>
    </row>
    <row r="732">
      <c r="B732" s="126"/>
      <c r="D732" s="90"/>
      <c r="E732" s="90"/>
      <c r="F732" s="90"/>
      <c r="I732" s="69"/>
    </row>
    <row r="733">
      <c r="B733" s="126"/>
      <c r="D733" s="90"/>
      <c r="E733" s="90"/>
      <c r="F733" s="90"/>
      <c r="I733" s="69"/>
    </row>
    <row r="734">
      <c r="B734" s="126"/>
      <c r="D734" s="90"/>
      <c r="E734" s="90"/>
      <c r="F734" s="90"/>
      <c r="I734" s="69"/>
    </row>
    <row r="735">
      <c r="B735" s="126"/>
      <c r="D735" s="90"/>
      <c r="E735" s="90"/>
      <c r="F735" s="90"/>
      <c r="I735" s="69"/>
    </row>
    <row r="736">
      <c r="B736" s="126"/>
      <c r="D736" s="90"/>
      <c r="E736" s="90"/>
      <c r="F736" s="90"/>
      <c r="I736" s="69"/>
    </row>
    <row r="737">
      <c r="B737" s="126"/>
      <c r="D737" s="90"/>
      <c r="E737" s="90"/>
      <c r="F737" s="90"/>
      <c r="I737" s="69"/>
    </row>
    <row r="738">
      <c r="B738" s="126"/>
      <c r="D738" s="90"/>
      <c r="E738" s="90"/>
      <c r="F738" s="90"/>
      <c r="I738" s="69"/>
    </row>
    <row r="739">
      <c r="B739" s="126"/>
      <c r="D739" s="90"/>
      <c r="E739" s="90"/>
      <c r="F739" s="90"/>
      <c r="I739" s="69"/>
    </row>
    <row r="740">
      <c r="B740" s="126"/>
      <c r="D740" s="90"/>
      <c r="E740" s="90"/>
      <c r="F740" s="90"/>
      <c r="I740" s="69"/>
    </row>
    <row r="741">
      <c r="B741" s="126"/>
      <c r="D741" s="90"/>
      <c r="E741" s="90"/>
      <c r="F741" s="90"/>
      <c r="I741" s="69"/>
    </row>
    <row r="742">
      <c r="B742" s="126"/>
      <c r="D742" s="90"/>
      <c r="E742" s="90"/>
      <c r="F742" s="90"/>
      <c r="I742" s="69"/>
    </row>
    <row r="743">
      <c r="B743" s="126"/>
      <c r="D743" s="90"/>
      <c r="E743" s="90"/>
      <c r="F743" s="90"/>
      <c r="I743" s="69"/>
    </row>
    <row r="744">
      <c r="B744" s="126"/>
      <c r="D744" s="90"/>
      <c r="E744" s="90"/>
      <c r="F744" s="90"/>
      <c r="I744" s="69"/>
    </row>
    <row r="745">
      <c r="B745" s="126"/>
      <c r="D745" s="90"/>
      <c r="E745" s="90"/>
      <c r="F745" s="90"/>
      <c r="I745" s="69"/>
    </row>
    <row r="746">
      <c r="B746" s="126"/>
      <c r="D746" s="90"/>
      <c r="E746" s="90"/>
      <c r="F746" s="90"/>
      <c r="I746" s="69"/>
    </row>
    <row r="747">
      <c r="B747" s="126"/>
      <c r="D747" s="90"/>
      <c r="E747" s="90"/>
      <c r="F747" s="90"/>
      <c r="I747" s="69"/>
    </row>
    <row r="748">
      <c r="B748" s="126"/>
      <c r="D748" s="90"/>
      <c r="E748" s="90"/>
      <c r="F748" s="90"/>
      <c r="I748" s="69"/>
    </row>
    <row r="749">
      <c r="B749" s="126"/>
      <c r="D749" s="90"/>
      <c r="E749" s="90"/>
      <c r="F749" s="90"/>
      <c r="I749" s="69"/>
    </row>
    <row r="750">
      <c r="B750" s="126"/>
      <c r="D750" s="90"/>
      <c r="E750" s="90"/>
      <c r="F750" s="90"/>
      <c r="I750" s="69"/>
    </row>
    <row r="751">
      <c r="B751" s="126"/>
      <c r="D751" s="90"/>
      <c r="E751" s="90"/>
      <c r="F751" s="90"/>
      <c r="I751" s="69"/>
    </row>
    <row r="752">
      <c r="B752" s="126"/>
      <c r="D752" s="90"/>
      <c r="E752" s="90"/>
      <c r="F752" s="90"/>
      <c r="I752" s="69"/>
    </row>
    <row r="753">
      <c r="B753" s="126"/>
      <c r="D753" s="90"/>
      <c r="E753" s="90"/>
      <c r="F753" s="90"/>
      <c r="I753" s="69"/>
    </row>
    <row r="754">
      <c r="B754" s="126"/>
      <c r="D754" s="90"/>
      <c r="E754" s="90"/>
      <c r="F754" s="90"/>
      <c r="I754" s="69"/>
    </row>
    <row r="755">
      <c r="B755" s="126"/>
      <c r="D755" s="90"/>
      <c r="E755" s="90"/>
      <c r="F755" s="90"/>
      <c r="I755" s="69"/>
    </row>
    <row r="756">
      <c r="B756" s="126"/>
      <c r="D756" s="90"/>
      <c r="E756" s="90"/>
      <c r="F756" s="90"/>
      <c r="I756" s="69"/>
    </row>
    <row r="757">
      <c r="B757" s="126"/>
      <c r="D757" s="90"/>
      <c r="E757" s="90"/>
      <c r="F757" s="90"/>
      <c r="I757" s="69"/>
    </row>
    <row r="758">
      <c r="B758" s="126"/>
      <c r="D758" s="90"/>
      <c r="E758" s="90"/>
      <c r="F758" s="90"/>
      <c r="I758" s="69"/>
    </row>
    <row r="759">
      <c r="B759" s="126"/>
      <c r="D759" s="90"/>
      <c r="E759" s="90"/>
      <c r="F759" s="90"/>
      <c r="I759" s="69"/>
    </row>
    <row r="760">
      <c r="B760" s="126"/>
      <c r="D760" s="90"/>
      <c r="E760" s="90"/>
      <c r="F760" s="90"/>
      <c r="I760" s="69"/>
    </row>
    <row r="761">
      <c r="B761" s="126"/>
      <c r="D761" s="90"/>
      <c r="E761" s="90"/>
      <c r="F761" s="90"/>
      <c r="I761" s="69"/>
    </row>
    <row r="762">
      <c r="B762" s="126"/>
      <c r="D762" s="90"/>
      <c r="E762" s="90"/>
      <c r="F762" s="90"/>
      <c r="I762" s="69"/>
    </row>
    <row r="763">
      <c r="B763" s="126"/>
      <c r="D763" s="90"/>
      <c r="E763" s="90"/>
      <c r="F763" s="90"/>
      <c r="I763" s="69"/>
    </row>
    <row r="764">
      <c r="B764" s="126"/>
      <c r="D764" s="90"/>
      <c r="E764" s="90"/>
      <c r="F764" s="90"/>
      <c r="I764" s="69"/>
    </row>
    <row r="765">
      <c r="B765" s="126"/>
      <c r="D765" s="90"/>
      <c r="E765" s="90"/>
      <c r="F765" s="90"/>
      <c r="I765" s="69"/>
    </row>
    <row r="766">
      <c r="B766" s="126"/>
      <c r="D766" s="90"/>
      <c r="E766" s="90"/>
      <c r="F766" s="90"/>
      <c r="I766" s="69"/>
    </row>
    <row r="767">
      <c r="B767" s="126"/>
      <c r="D767" s="90"/>
      <c r="E767" s="90"/>
      <c r="F767" s="90"/>
      <c r="I767" s="69"/>
    </row>
    <row r="768">
      <c r="B768" s="126"/>
      <c r="D768" s="90"/>
      <c r="E768" s="90"/>
      <c r="F768" s="90"/>
      <c r="I768" s="69"/>
    </row>
    <row r="769">
      <c r="B769" s="126"/>
      <c r="D769" s="90"/>
      <c r="E769" s="90"/>
      <c r="F769" s="90"/>
      <c r="I769" s="69"/>
    </row>
    <row r="770">
      <c r="B770" s="126"/>
      <c r="D770" s="90"/>
      <c r="E770" s="90"/>
      <c r="F770" s="90"/>
      <c r="I770" s="69"/>
    </row>
    <row r="771">
      <c r="B771" s="126"/>
      <c r="D771" s="90"/>
      <c r="E771" s="90"/>
      <c r="F771" s="90"/>
      <c r="I771" s="69"/>
    </row>
    <row r="772">
      <c r="B772" s="126"/>
      <c r="D772" s="90"/>
      <c r="E772" s="90"/>
      <c r="F772" s="90"/>
      <c r="I772" s="69"/>
    </row>
    <row r="773">
      <c r="B773" s="126"/>
      <c r="D773" s="90"/>
      <c r="E773" s="90"/>
      <c r="F773" s="90"/>
      <c r="I773" s="69"/>
    </row>
    <row r="774">
      <c r="B774" s="126"/>
      <c r="D774" s="90"/>
      <c r="E774" s="90"/>
      <c r="F774" s="90"/>
      <c r="I774" s="69"/>
    </row>
    <row r="775">
      <c r="B775" s="126"/>
      <c r="D775" s="90"/>
      <c r="E775" s="90"/>
      <c r="F775" s="90"/>
      <c r="I775" s="69"/>
    </row>
    <row r="776">
      <c r="B776" s="126"/>
      <c r="D776" s="90"/>
      <c r="E776" s="90"/>
      <c r="F776" s="90"/>
      <c r="I776" s="69"/>
    </row>
    <row r="777">
      <c r="B777" s="126"/>
      <c r="D777" s="90"/>
      <c r="E777" s="90"/>
      <c r="F777" s="90"/>
      <c r="I777" s="69"/>
    </row>
    <row r="778">
      <c r="B778" s="126"/>
      <c r="D778" s="90"/>
      <c r="E778" s="90"/>
      <c r="F778" s="90"/>
      <c r="I778" s="69"/>
    </row>
    <row r="779">
      <c r="B779" s="126"/>
      <c r="D779" s="90"/>
      <c r="E779" s="90"/>
      <c r="F779" s="90"/>
      <c r="I779" s="69"/>
    </row>
    <row r="780">
      <c r="B780" s="126"/>
      <c r="D780" s="90"/>
      <c r="E780" s="90"/>
      <c r="F780" s="90"/>
      <c r="I780" s="69"/>
    </row>
    <row r="781">
      <c r="B781" s="126"/>
      <c r="D781" s="90"/>
      <c r="E781" s="90"/>
      <c r="F781" s="90"/>
      <c r="I781" s="69"/>
    </row>
    <row r="782">
      <c r="B782" s="126"/>
      <c r="D782" s="90"/>
      <c r="E782" s="90"/>
      <c r="F782" s="90"/>
      <c r="I782" s="69"/>
    </row>
    <row r="783">
      <c r="B783" s="126"/>
      <c r="D783" s="90"/>
      <c r="E783" s="90"/>
      <c r="F783" s="90"/>
      <c r="I783" s="69"/>
    </row>
    <row r="784">
      <c r="B784" s="126"/>
      <c r="D784" s="90"/>
      <c r="E784" s="90"/>
      <c r="F784" s="90"/>
      <c r="I784" s="69"/>
    </row>
    <row r="785">
      <c r="B785" s="126"/>
      <c r="D785" s="90"/>
      <c r="E785" s="90"/>
      <c r="F785" s="90"/>
      <c r="I785" s="69"/>
    </row>
    <row r="786">
      <c r="B786" s="126"/>
      <c r="D786" s="90"/>
      <c r="E786" s="90"/>
      <c r="F786" s="90"/>
      <c r="I786" s="69"/>
    </row>
    <row r="787">
      <c r="B787" s="126"/>
      <c r="D787" s="90"/>
      <c r="E787" s="90"/>
      <c r="F787" s="90"/>
      <c r="I787" s="69"/>
    </row>
    <row r="788">
      <c r="B788" s="126"/>
      <c r="D788" s="90"/>
      <c r="E788" s="90"/>
      <c r="F788" s="90"/>
      <c r="I788" s="69"/>
    </row>
    <row r="789">
      <c r="B789" s="126"/>
      <c r="D789" s="90"/>
      <c r="E789" s="90"/>
      <c r="F789" s="90"/>
      <c r="I789" s="69"/>
    </row>
    <row r="790">
      <c r="B790" s="126"/>
      <c r="D790" s="90"/>
      <c r="E790" s="90"/>
      <c r="F790" s="90"/>
      <c r="I790" s="69"/>
    </row>
    <row r="791">
      <c r="B791" s="126"/>
      <c r="D791" s="90"/>
      <c r="E791" s="90"/>
      <c r="F791" s="90"/>
      <c r="I791" s="69"/>
    </row>
    <row r="792">
      <c r="B792" s="126"/>
      <c r="D792" s="90"/>
      <c r="E792" s="90"/>
      <c r="F792" s="90"/>
      <c r="I792" s="69"/>
    </row>
    <row r="793">
      <c r="B793" s="126"/>
      <c r="D793" s="90"/>
      <c r="E793" s="90"/>
      <c r="F793" s="90"/>
      <c r="I793" s="69"/>
    </row>
    <row r="794">
      <c r="B794" s="126"/>
      <c r="D794" s="90"/>
      <c r="E794" s="90"/>
      <c r="F794" s="90"/>
      <c r="I794" s="69"/>
    </row>
    <row r="795">
      <c r="B795" s="126"/>
      <c r="D795" s="90"/>
      <c r="E795" s="90"/>
      <c r="F795" s="90"/>
      <c r="I795" s="69"/>
    </row>
    <row r="796">
      <c r="B796" s="126"/>
      <c r="D796" s="90"/>
      <c r="E796" s="90"/>
      <c r="F796" s="90"/>
      <c r="I796" s="69"/>
    </row>
    <row r="797">
      <c r="B797" s="126"/>
      <c r="D797" s="90"/>
      <c r="E797" s="90"/>
      <c r="F797" s="90"/>
      <c r="I797" s="69"/>
    </row>
    <row r="798">
      <c r="B798" s="126"/>
      <c r="D798" s="90"/>
      <c r="E798" s="90"/>
      <c r="F798" s="90"/>
      <c r="I798" s="69"/>
    </row>
    <row r="799">
      <c r="B799" s="126"/>
      <c r="D799" s="90"/>
      <c r="E799" s="90"/>
      <c r="F799" s="90"/>
      <c r="I799" s="69"/>
    </row>
    <row r="800">
      <c r="B800" s="126"/>
      <c r="D800" s="90"/>
      <c r="E800" s="90"/>
      <c r="F800" s="90"/>
      <c r="I800" s="69"/>
    </row>
    <row r="801">
      <c r="B801" s="126"/>
      <c r="D801" s="90"/>
      <c r="E801" s="90"/>
      <c r="F801" s="90"/>
      <c r="I801" s="69"/>
    </row>
    <row r="802">
      <c r="B802" s="126"/>
      <c r="D802" s="90"/>
      <c r="E802" s="90"/>
      <c r="F802" s="90"/>
      <c r="I802" s="69"/>
    </row>
    <row r="803">
      <c r="B803" s="126"/>
      <c r="D803" s="90"/>
      <c r="E803" s="90"/>
      <c r="F803" s="90"/>
      <c r="I803" s="69"/>
    </row>
    <row r="804">
      <c r="B804" s="126"/>
      <c r="D804" s="90"/>
      <c r="E804" s="90"/>
      <c r="F804" s="90"/>
      <c r="I804" s="69"/>
    </row>
    <row r="805">
      <c r="B805" s="126"/>
      <c r="D805" s="90"/>
      <c r="E805" s="90"/>
      <c r="F805" s="90"/>
      <c r="I805" s="69"/>
    </row>
    <row r="806">
      <c r="B806" s="126"/>
      <c r="D806" s="90"/>
      <c r="E806" s="90"/>
      <c r="F806" s="90"/>
      <c r="I806" s="69"/>
    </row>
    <row r="807">
      <c r="B807" s="126"/>
      <c r="D807" s="90"/>
      <c r="E807" s="90"/>
      <c r="F807" s="90"/>
      <c r="I807" s="69"/>
    </row>
    <row r="808">
      <c r="B808" s="126"/>
      <c r="D808" s="90"/>
      <c r="E808" s="90"/>
      <c r="F808" s="90"/>
      <c r="I808" s="69"/>
    </row>
    <row r="809">
      <c r="B809" s="126"/>
      <c r="D809" s="90"/>
      <c r="E809" s="90"/>
      <c r="F809" s="90"/>
      <c r="I809" s="69"/>
    </row>
    <row r="810">
      <c r="B810" s="126"/>
      <c r="D810" s="90"/>
      <c r="E810" s="90"/>
      <c r="F810" s="90"/>
      <c r="I810" s="69"/>
    </row>
    <row r="811">
      <c r="B811" s="126"/>
      <c r="D811" s="90"/>
      <c r="E811" s="90"/>
      <c r="F811" s="90"/>
      <c r="I811" s="69"/>
    </row>
    <row r="812">
      <c r="B812" s="126"/>
      <c r="D812" s="90"/>
      <c r="E812" s="90"/>
      <c r="F812" s="90"/>
      <c r="I812" s="69"/>
    </row>
    <row r="813">
      <c r="B813" s="126"/>
      <c r="D813" s="90"/>
      <c r="E813" s="90"/>
      <c r="F813" s="90"/>
      <c r="I813" s="69"/>
    </row>
    <row r="814">
      <c r="B814" s="126"/>
      <c r="D814" s="90"/>
      <c r="E814" s="90"/>
      <c r="F814" s="90"/>
      <c r="I814" s="69"/>
    </row>
    <row r="815">
      <c r="B815" s="126"/>
      <c r="D815" s="90"/>
      <c r="E815" s="90"/>
      <c r="F815" s="90"/>
      <c r="I815" s="69"/>
    </row>
    <row r="816">
      <c r="B816" s="126"/>
      <c r="D816" s="90"/>
      <c r="E816" s="90"/>
      <c r="F816" s="90"/>
      <c r="I816" s="69"/>
    </row>
    <row r="817">
      <c r="B817" s="126"/>
      <c r="D817" s="90"/>
      <c r="E817" s="90"/>
      <c r="F817" s="90"/>
      <c r="I817" s="69"/>
    </row>
    <row r="818">
      <c r="B818" s="126"/>
      <c r="D818" s="90"/>
      <c r="E818" s="90"/>
      <c r="F818" s="90"/>
      <c r="I818" s="69"/>
    </row>
    <row r="819">
      <c r="B819" s="126"/>
      <c r="D819" s="90"/>
      <c r="E819" s="90"/>
      <c r="F819" s="90"/>
      <c r="I819" s="69"/>
    </row>
    <row r="820">
      <c r="B820" s="126"/>
      <c r="D820" s="90"/>
      <c r="E820" s="90"/>
      <c r="F820" s="90"/>
      <c r="I820" s="69"/>
    </row>
    <row r="821">
      <c r="B821" s="126"/>
      <c r="D821" s="90"/>
      <c r="E821" s="90"/>
      <c r="F821" s="90"/>
      <c r="I821" s="69"/>
    </row>
    <row r="822">
      <c r="B822" s="126"/>
      <c r="D822" s="90"/>
      <c r="E822" s="90"/>
      <c r="F822" s="90"/>
      <c r="I822" s="69"/>
    </row>
    <row r="823">
      <c r="B823" s="126"/>
      <c r="D823" s="90"/>
      <c r="E823" s="90"/>
      <c r="F823" s="90"/>
      <c r="I823" s="69"/>
    </row>
    <row r="824">
      <c r="B824" s="126"/>
      <c r="D824" s="90"/>
      <c r="E824" s="90"/>
      <c r="F824" s="90"/>
      <c r="I824" s="69"/>
    </row>
    <row r="825">
      <c r="B825" s="126"/>
      <c r="D825" s="90"/>
      <c r="E825" s="90"/>
      <c r="F825" s="90"/>
      <c r="I825" s="69"/>
    </row>
    <row r="826">
      <c r="B826" s="126"/>
      <c r="D826" s="90"/>
      <c r="E826" s="90"/>
      <c r="F826" s="90"/>
      <c r="I826" s="69"/>
    </row>
    <row r="827">
      <c r="B827" s="126"/>
      <c r="D827" s="90"/>
      <c r="E827" s="90"/>
      <c r="F827" s="90"/>
      <c r="I827" s="69"/>
    </row>
    <row r="828">
      <c r="B828" s="126"/>
      <c r="D828" s="90"/>
      <c r="E828" s="90"/>
      <c r="F828" s="90"/>
      <c r="I828" s="69"/>
    </row>
    <row r="829">
      <c r="B829" s="126"/>
      <c r="D829" s="90"/>
      <c r="E829" s="90"/>
      <c r="F829" s="90"/>
      <c r="I829" s="69"/>
    </row>
    <row r="830">
      <c r="B830" s="126"/>
      <c r="D830" s="90"/>
      <c r="E830" s="90"/>
      <c r="F830" s="90"/>
      <c r="I830" s="69"/>
    </row>
    <row r="831">
      <c r="B831" s="126"/>
      <c r="D831" s="90"/>
      <c r="E831" s="90"/>
      <c r="F831" s="90"/>
      <c r="I831" s="69"/>
    </row>
    <row r="832">
      <c r="B832" s="126"/>
      <c r="D832" s="90"/>
      <c r="E832" s="90"/>
      <c r="F832" s="90"/>
      <c r="I832" s="69"/>
    </row>
    <row r="833">
      <c r="B833" s="126"/>
      <c r="D833" s="90"/>
      <c r="E833" s="90"/>
      <c r="F833" s="90"/>
      <c r="I833" s="69"/>
    </row>
    <row r="834">
      <c r="B834" s="126"/>
      <c r="D834" s="90"/>
      <c r="E834" s="90"/>
      <c r="F834" s="90"/>
      <c r="I834" s="69"/>
    </row>
    <row r="835">
      <c r="B835" s="126"/>
      <c r="D835" s="90"/>
      <c r="E835" s="90"/>
      <c r="F835" s="90"/>
      <c r="I835" s="69"/>
    </row>
    <row r="836">
      <c r="B836" s="126"/>
      <c r="D836" s="90"/>
      <c r="E836" s="90"/>
      <c r="F836" s="90"/>
      <c r="I836" s="69"/>
    </row>
    <row r="837">
      <c r="B837" s="126"/>
      <c r="D837" s="90"/>
      <c r="E837" s="90"/>
      <c r="F837" s="90"/>
      <c r="I837" s="69"/>
    </row>
    <row r="838">
      <c r="B838" s="126"/>
      <c r="D838" s="90"/>
      <c r="E838" s="90"/>
      <c r="F838" s="90"/>
      <c r="I838" s="69"/>
    </row>
    <row r="839">
      <c r="B839" s="126"/>
      <c r="D839" s="90"/>
      <c r="E839" s="90"/>
      <c r="F839" s="90"/>
      <c r="I839" s="69"/>
    </row>
    <row r="840">
      <c r="B840" s="126"/>
      <c r="D840" s="90"/>
      <c r="E840" s="90"/>
      <c r="F840" s="90"/>
      <c r="I840" s="69"/>
    </row>
    <row r="841">
      <c r="B841" s="126"/>
      <c r="D841" s="90"/>
      <c r="E841" s="90"/>
      <c r="F841" s="90"/>
      <c r="I841" s="69"/>
    </row>
    <row r="842">
      <c r="B842" s="126"/>
      <c r="D842" s="90"/>
      <c r="E842" s="90"/>
      <c r="F842" s="90"/>
      <c r="I842" s="69"/>
    </row>
    <row r="843">
      <c r="B843" s="126"/>
      <c r="D843" s="90"/>
      <c r="E843" s="90"/>
      <c r="F843" s="90"/>
      <c r="I843" s="69"/>
    </row>
    <row r="844">
      <c r="B844" s="126"/>
      <c r="D844" s="90"/>
      <c r="E844" s="90"/>
      <c r="F844" s="90"/>
      <c r="I844" s="69"/>
    </row>
    <row r="845">
      <c r="B845" s="126"/>
      <c r="D845" s="90"/>
      <c r="E845" s="90"/>
      <c r="F845" s="90"/>
      <c r="I845" s="69"/>
    </row>
    <row r="846">
      <c r="B846" s="126"/>
      <c r="D846" s="90"/>
      <c r="E846" s="90"/>
      <c r="F846" s="90"/>
      <c r="I846" s="69"/>
    </row>
    <row r="847">
      <c r="B847" s="126"/>
      <c r="D847" s="90"/>
      <c r="E847" s="90"/>
      <c r="F847" s="90"/>
      <c r="I847" s="69"/>
    </row>
    <row r="848">
      <c r="B848" s="126"/>
      <c r="D848" s="90"/>
      <c r="E848" s="90"/>
      <c r="F848" s="90"/>
      <c r="I848" s="69"/>
    </row>
    <row r="849">
      <c r="B849" s="126"/>
      <c r="D849" s="90"/>
      <c r="E849" s="90"/>
      <c r="F849" s="90"/>
      <c r="I849" s="69"/>
    </row>
    <row r="850">
      <c r="B850" s="126"/>
      <c r="D850" s="90"/>
      <c r="E850" s="90"/>
      <c r="F850" s="90"/>
      <c r="I850" s="69"/>
    </row>
    <row r="851">
      <c r="B851" s="126"/>
      <c r="D851" s="90"/>
      <c r="E851" s="90"/>
      <c r="F851" s="90"/>
      <c r="I851" s="69"/>
    </row>
    <row r="852">
      <c r="B852" s="126"/>
      <c r="D852" s="90"/>
      <c r="E852" s="90"/>
      <c r="F852" s="90"/>
      <c r="I852" s="69"/>
    </row>
    <row r="853">
      <c r="B853" s="126"/>
      <c r="D853" s="90"/>
      <c r="E853" s="90"/>
      <c r="F853" s="90"/>
      <c r="I853" s="69"/>
    </row>
    <row r="854">
      <c r="B854" s="126"/>
      <c r="D854" s="90"/>
      <c r="E854" s="90"/>
      <c r="F854" s="90"/>
      <c r="I854" s="69"/>
    </row>
    <row r="855">
      <c r="B855" s="126"/>
      <c r="D855" s="90"/>
      <c r="E855" s="90"/>
      <c r="F855" s="90"/>
      <c r="I855" s="69"/>
    </row>
    <row r="856">
      <c r="B856" s="126"/>
      <c r="D856" s="90"/>
      <c r="E856" s="90"/>
      <c r="F856" s="90"/>
      <c r="I856" s="69"/>
    </row>
    <row r="857">
      <c r="B857" s="126"/>
      <c r="D857" s="90"/>
      <c r="E857" s="90"/>
      <c r="F857" s="90"/>
      <c r="I857" s="69"/>
    </row>
    <row r="858">
      <c r="B858" s="126"/>
      <c r="D858" s="90"/>
      <c r="E858" s="90"/>
      <c r="F858" s="90"/>
      <c r="I858" s="69"/>
    </row>
    <row r="859">
      <c r="B859" s="126"/>
      <c r="D859" s="90"/>
      <c r="E859" s="90"/>
      <c r="F859" s="90"/>
      <c r="I859" s="69"/>
    </row>
    <row r="860">
      <c r="B860" s="126"/>
      <c r="D860" s="90"/>
      <c r="E860" s="90"/>
      <c r="F860" s="90"/>
      <c r="I860" s="69"/>
    </row>
    <row r="861">
      <c r="B861" s="126"/>
      <c r="D861" s="90"/>
      <c r="E861" s="90"/>
      <c r="F861" s="90"/>
      <c r="I861" s="69"/>
    </row>
    <row r="862">
      <c r="B862" s="126"/>
      <c r="D862" s="90"/>
      <c r="E862" s="90"/>
      <c r="F862" s="90"/>
      <c r="I862" s="69"/>
    </row>
    <row r="863">
      <c r="B863" s="126"/>
      <c r="D863" s="90"/>
      <c r="E863" s="90"/>
      <c r="F863" s="90"/>
      <c r="I863" s="69"/>
    </row>
    <row r="864">
      <c r="B864" s="126"/>
      <c r="D864" s="90"/>
      <c r="E864" s="90"/>
      <c r="F864" s="90"/>
      <c r="I864" s="69"/>
    </row>
    <row r="865">
      <c r="B865" s="126"/>
      <c r="D865" s="90"/>
      <c r="E865" s="90"/>
      <c r="F865" s="90"/>
      <c r="I865" s="69"/>
    </row>
    <row r="866">
      <c r="B866" s="126"/>
      <c r="D866" s="90"/>
      <c r="E866" s="90"/>
      <c r="F866" s="90"/>
      <c r="I866" s="69"/>
    </row>
    <row r="867">
      <c r="B867" s="126"/>
      <c r="D867" s="90"/>
      <c r="E867" s="90"/>
      <c r="F867" s="90"/>
      <c r="I867" s="69"/>
    </row>
    <row r="868">
      <c r="B868" s="126"/>
      <c r="D868" s="90"/>
      <c r="E868" s="90"/>
      <c r="F868" s="90"/>
      <c r="I868" s="69"/>
    </row>
    <row r="869">
      <c r="B869" s="126"/>
      <c r="D869" s="90"/>
      <c r="E869" s="90"/>
      <c r="F869" s="90"/>
      <c r="I869" s="69"/>
    </row>
    <row r="870">
      <c r="B870" s="126"/>
      <c r="D870" s="90"/>
      <c r="E870" s="90"/>
      <c r="F870" s="90"/>
      <c r="I870" s="69"/>
    </row>
    <row r="871">
      <c r="B871" s="126"/>
      <c r="D871" s="90"/>
      <c r="E871" s="90"/>
      <c r="F871" s="90"/>
      <c r="I871" s="69"/>
    </row>
    <row r="872">
      <c r="B872" s="126"/>
      <c r="D872" s="90"/>
      <c r="E872" s="90"/>
      <c r="F872" s="90"/>
      <c r="I872" s="69"/>
    </row>
    <row r="873">
      <c r="B873" s="126"/>
      <c r="D873" s="90"/>
      <c r="E873" s="90"/>
      <c r="F873" s="90"/>
      <c r="I873" s="69"/>
    </row>
    <row r="874">
      <c r="B874" s="126"/>
      <c r="D874" s="90"/>
      <c r="E874" s="90"/>
      <c r="F874" s="90"/>
      <c r="I874" s="69"/>
    </row>
    <row r="875">
      <c r="B875" s="126"/>
      <c r="D875" s="90"/>
      <c r="E875" s="90"/>
      <c r="F875" s="90"/>
      <c r="I875" s="69"/>
    </row>
    <row r="876">
      <c r="B876" s="126"/>
      <c r="D876" s="90"/>
      <c r="E876" s="90"/>
      <c r="F876" s="90"/>
      <c r="I876" s="69"/>
    </row>
    <row r="877">
      <c r="B877" s="126"/>
      <c r="D877" s="90"/>
      <c r="E877" s="90"/>
      <c r="F877" s="90"/>
      <c r="I877" s="69"/>
    </row>
    <row r="878">
      <c r="B878" s="126"/>
      <c r="D878" s="90"/>
      <c r="E878" s="90"/>
      <c r="F878" s="90"/>
      <c r="I878" s="69"/>
    </row>
    <row r="879">
      <c r="B879" s="126"/>
      <c r="D879" s="90"/>
      <c r="E879" s="90"/>
      <c r="F879" s="90"/>
      <c r="I879" s="69"/>
    </row>
    <row r="880">
      <c r="B880" s="126"/>
      <c r="D880" s="90"/>
      <c r="E880" s="90"/>
      <c r="F880" s="90"/>
      <c r="I880" s="69"/>
    </row>
    <row r="881">
      <c r="B881" s="126"/>
      <c r="D881" s="90"/>
      <c r="E881" s="90"/>
      <c r="F881" s="90"/>
      <c r="I881" s="69"/>
    </row>
    <row r="882">
      <c r="B882" s="126"/>
      <c r="D882" s="90"/>
      <c r="E882" s="90"/>
      <c r="F882" s="90"/>
      <c r="I882" s="69"/>
    </row>
    <row r="883">
      <c r="B883" s="126"/>
      <c r="D883" s="90"/>
      <c r="E883" s="90"/>
      <c r="F883" s="90"/>
      <c r="I883" s="69"/>
    </row>
    <row r="884">
      <c r="B884" s="126"/>
      <c r="D884" s="90"/>
      <c r="E884" s="90"/>
      <c r="F884" s="90"/>
      <c r="I884" s="69"/>
    </row>
    <row r="885">
      <c r="B885" s="126"/>
      <c r="D885" s="90"/>
      <c r="E885" s="90"/>
      <c r="F885" s="90"/>
      <c r="I885" s="69"/>
    </row>
    <row r="886">
      <c r="B886" s="126"/>
      <c r="D886" s="90"/>
      <c r="E886" s="90"/>
      <c r="F886" s="90"/>
      <c r="I886" s="69"/>
    </row>
    <row r="887">
      <c r="B887" s="126"/>
      <c r="D887" s="90"/>
      <c r="E887" s="90"/>
      <c r="F887" s="90"/>
      <c r="I887" s="69"/>
    </row>
    <row r="888">
      <c r="B888" s="126"/>
      <c r="D888" s="90"/>
      <c r="E888" s="90"/>
      <c r="F888" s="90"/>
      <c r="I888" s="69"/>
    </row>
    <row r="889">
      <c r="B889" s="126"/>
      <c r="D889" s="90"/>
      <c r="E889" s="90"/>
      <c r="F889" s="90"/>
      <c r="I889" s="69"/>
    </row>
    <row r="890">
      <c r="B890" s="126"/>
      <c r="D890" s="90"/>
      <c r="E890" s="90"/>
      <c r="F890" s="90"/>
      <c r="I890" s="69"/>
    </row>
    <row r="891">
      <c r="B891" s="126"/>
      <c r="D891" s="90"/>
      <c r="E891" s="90"/>
      <c r="F891" s="90"/>
      <c r="I891" s="69"/>
    </row>
    <row r="892">
      <c r="B892" s="126"/>
      <c r="D892" s="90"/>
      <c r="E892" s="90"/>
      <c r="F892" s="90"/>
      <c r="I892" s="69"/>
    </row>
    <row r="893">
      <c r="B893" s="126"/>
      <c r="D893" s="90"/>
      <c r="E893" s="90"/>
      <c r="F893" s="90"/>
      <c r="I893" s="69"/>
    </row>
    <row r="894">
      <c r="B894" s="126"/>
      <c r="D894" s="90"/>
      <c r="E894" s="90"/>
      <c r="F894" s="90"/>
      <c r="I894" s="69"/>
    </row>
    <row r="895">
      <c r="B895" s="126"/>
      <c r="D895" s="90"/>
      <c r="E895" s="90"/>
      <c r="F895" s="90"/>
      <c r="I895" s="69"/>
    </row>
    <row r="896">
      <c r="B896" s="126"/>
      <c r="D896" s="90"/>
      <c r="E896" s="90"/>
      <c r="F896" s="90"/>
      <c r="I896" s="69"/>
    </row>
    <row r="897">
      <c r="B897" s="126"/>
      <c r="D897" s="90"/>
      <c r="E897" s="90"/>
      <c r="F897" s="90"/>
      <c r="I897" s="69"/>
    </row>
    <row r="898">
      <c r="B898" s="126"/>
      <c r="D898" s="90"/>
      <c r="E898" s="90"/>
      <c r="F898" s="90"/>
      <c r="I898" s="69"/>
    </row>
    <row r="899">
      <c r="B899" s="126"/>
      <c r="D899" s="90"/>
      <c r="E899" s="90"/>
      <c r="F899" s="90"/>
      <c r="I899" s="69"/>
    </row>
    <row r="900">
      <c r="B900" s="126"/>
      <c r="D900" s="90"/>
      <c r="E900" s="90"/>
      <c r="F900" s="90"/>
      <c r="I900" s="69"/>
    </row>
    <row r="901">
      <c r="B901" s="126"/>
      <c r="D901" s="90"/>
      <c r="E901" s="90"/>
      <c r="F901" s="90"/>
      <c r="I901" s="69"/>
    </row>
    <row r="902">
      <c r="B902" s="126"/>
      <c r="D902" s="90"/>
      <c r="E902" s="90"/>
      <c r="F902" s="90"/>
      <c r="I902" s="69"/>
    </row>
    <row r="903">
      <c r="B903" s="126"/>
      <c r="D903" s="90"/>
      <c r="E903" s="90"/>
      <c r="F903" s="90"/>
      <c r="I903" s="69"/>
    </row>
    <row r="904">
      <c r="B904" s="126"/>
      <c r="D904" s="90"/>
      <c r="E904" s="90"/>
      <c r="F904" s="90"/>
      <c r="I904" s="69"/>
    </row>
    <row r="905">
      <c r="B905" s="126"/>
      <c r="D905" s="90"/>
      <c r="E905" s="90"/>
      <c r="F905" s="90"/>
      <c r="I905" s="69"/>
    </row>
    <row r="906">
      <c r="B906" s="126"/>
      <c r="D906" s="90"/>
      <c r="E906" s="90"/>
      <c r="F906" s="90"/>
      <c r="I906" s="69"/>
    </row>
    <row r="907">
      <c r="B907" s="126"/>
      <c r="D907" s="90"/>
      <c r="E907" s="90"/>
      <c r="F907" s="90"/>
      <c r="I907" s="69"/>
    </row>
    <row r="908">
      <c r="B908" s="126"/>
      <c r="D908" s="90"/>
      <c r="E908" s="90"/>
      <c r="F908" s="90"/>
      <c r="I908" s="69"/>
    </row>
    <row r="909">
      <c r="B909" s="126"/>
      <c r="D909" s="90"/>
      <c r="E909" s="90"/>
      <c r="F909" s="90"/>
      <c r="I909" s="69"/>
    </row>
    <row r="910">
      <c r="B910" s="126"/>
      <c r="D910" s="90"/>
      <c r="E910" s="90"/>
      <c r="F910" s="90"/>
      <c r="I910" s="69"/>
    </row>
    <row r="911">
      <c r="B911" s="126"/>
      <c r="D911" s="90"/>
      <c r="E911" s="90"/>
      <c r="F911" s="90"/>
      <c r="I911" s="69"/>
    </row>
    <row r="912">
      <c r="B912" s="126"/>
      <c r="D912" s="90"/>
      <c r="E912" s="90"/>
      <c r="F912" s="90"/>
      <c r="I912" s="69"/>
    </row>
    <row r="913">
      <c r="B913" s="126"/>
      <c r="D913" s="90"/>
      <c r="E913" s="90"/>
      <c r="F913" s="90"/>
      <c r="I913" s="69"/>
    </row>
    <row r="914">
      <c r="B914" s="126"/>
      <c r="D914" s="90"/>
      <c r="E914" s="90"/>
      <c r="F914" s="90"/>
      <c r="I914" s="69"/>
    </row>
    <row r="915">
      <c r="B915" s="126"/>
      <c r="D915" s="90"/>
      <c r="E915" s="90"/>
      <c r="F915" s="90"/>
      <c r="I915" s="69"/>
    </row>
    <row r="916">
      <c r="B916" s="126"/>
      <c r="D916" s="90"/>
      <c r="E916" s="90"/>
      <c r="F916" s="90"/>
      <c r="I916" s="69"/>
    </row>
    <row r="917">
      <c r="B917" s="126"/>
      <c r="D917" s="90"/>
      <c r="E917" s="90"/>
      <c r="F917" s="90"/>
      <c r="I917" s="69"/>
    </row>
    <row r="918">
      <c r="B918" s="126"/>
      <c r="D918" s="90"/>
      <c r="E918" s="90"/>
      <c r="F918" s="90"/>
      <c r="I918" s="69"/>
    </row>
    <row r="919">
      <c r="B919" s="126"/>
      <c r="D919" s="90"/>
      <c r="E919" s="90"/>
      <c r="F919" s="90"/>
      <c r="I919" s="69"/>
    </row>
    <row r="920">
      <c r="B920" s="126"/>
      <c r="D920" s="90"/>
      <c r="E920" s="90"/>
      <c r="F920" s="90"/>
      <c r="I920" s="69"/>
    </row>
    <row r="921">
      <c r="B921" s="126"/>
      <c r="D921" s="90"/>
      <c r="E921" s="90"/>
      <c r="F921" s="90"/>
      <c r="I921" s="69"/>
    </row>
    <row r="922">
      <c r="B922" s="126"/>
      <c r="D922" s="90"/>
      <c r="E922" s="90"/>
      <c r="F922" s="90"/>
      <c r="I922" s="69"/>
    </row>
    <row r="923">
      <c r="B923" s="126"/>
      <c r="D923" s="90"/>
      <c r="E923" s="90"/>
      <c r="F923" s="90"/>
      <c r="I923" s="69"/>
    </row>
    <row r="924">
      <c r="B924" s="126"/>
      <c r="D924" s="90"/>
      <c r="E924" s="90"/>
      <c r="F924" s="90"/>
      <c r="I924" s="69"/>
    </row>
    <row r="925">
      <c r="B925" s="126"/>
      <c r="D925" s="90"/>
      <c r="E925" s="90"/>
      <c r="F925" s="90"/>
      <c r="I925" s="69"/>
    </row>
    <row r="926">
      <c r="B926" s="126"/>
      <c r="D926" s="90"/>
      <c r="E926" s="90"/>
      <c r="F926" s="90"/>
      <c r="I926" s="69"/>
    </row>
    <row r="927">
      <c r="B927" s="126"/>
      <c r="D927" s="90"/>
      <c r="E927" s="90"/>
      <c r="F927" s="90"/>
      <c r="I927" s="69"/>
    </row>
    <row r="928">
      <c r="B928" s="126"/>
      <c r="D928" s="90"/>
      <c r="E928" s="90"/>
      <c r="F928" s="90"/>
      <c r="I928" s="69"/>
    </row>
    <row r="929">
      <c r="B929" s="126"/>
      <c r="D929" s="90"/>
      <c r="E929" s="90"/>
      <c r="F929" s="90"/>
      <c r="I929" s="69"/>
    </row>
    <row r="930">
      <c r="B930" s="126"/>
      <c r="D930" s="90"/>
      <c r="E930" s="90"/>
      <c r="F930" s="90"/>
      <c r="I930" s="69"/>
    </row>
    <row r="931">
      <c r="B931" s="126"/>
      <c r="D931" s="90"/>
      <c r="E931" s="90"/>
      <c r="F931" s="90"/>
      <c r="I931" s="69"/>
    </row>
    <row r="932">
      <c r="B932" s="126"/>
      <c r="D932" s="90"/>
      <c r="E932" s="90"/>
      <c r="F932" s="90"/>
      <c r="I932" s="69"/>
    </row>
    <row r="933">
      <c r="B933" s="126"/>
      <c r="D933" s="90"/>
      <c r="E933" s="90"/>
      <c r="F933" s="90"/>
      <c r="I933" s="69"/>
    </row>
    <row r="934">
      <c r="B934" s="126"/>
      <c r="D934" s="90"/>
      <c r="E934" s="90"/>
      <c r="F934" s="90"/>
      <c r="I934" s="69"/>
    </row>
    <row r="935">
      <c r="B935" s="126"/>
      <c r="D935" s="90"/>
      <c r="E935" s="90"/>
      <c r="F935" s="90"/>
      <c r="I935" s="69"/>
    </row>
    <row r="936">
      <c r="B936" s="126"/>
      <c r="D936" s="90"/>
      <c r="E936" s="90"/>
      <c r="F936" s="90"/>
      <c r="I936" s="69"/>
    </row>
    <row r="937">
      <c r="B937" s="126"/>
      <c r="D937" s="90"/>
      <c r="E937" s="90"/>
      <c r="F937" s="90"/>
      <c r="I937" s="69"/>
    </row>
    <row r="938">
      <c r="B938" s="126"/>
      <c r="D938" s="90"/>
      <c r="E938" s="90"/>
      <c r="F938" s="90"/>
      <c r="I938" s="69"/>
    </row>
    <row r="939">
      <c r="B939" s="126"/>
      <c r="D939" s="90"/>
      <c r="E939" s="90"/>
      <c r="F939" s="90"/>
      <c r="I939" s="69"/>
    </row>
    <row r="940">
      <c r="B940" s="126"/>
      <c r="D940" s="90"/>
      <c r="E940" s="90"/>
      <c r="F940" s="90"/>
      <c r="I940" s="69"/>
    </row>
    <row r="941">
      <c r="B941" s="126"/>
      <c r="D941" s="90"/>
      <c r="E941" s="90"/>
      <c r="F941" s="90"/>
      <c r="I941" s="69"/>
    </row>
    <row r="942">
      <c r="B942" s="126"/>
      <c r="D942" s="90"/>
      <c r="E942" s="90"/>
      <c r="F942" s="90"/>
      <c r="I942" s="69"/>
    </row>
    <row r="943">
      <c r="B943" s="126"/>
      <c r="D943" s="90"/>
      <c r="E943" s="90"/>
      <c r="F943" s="90"/>
      <c r="I943" s="69"/>
    </row>
    <row r="944">
      <c r="B944" s="126"/>
      <c r="D944" s="90"/>
      <c r="E944" s="90"/>
      <c r="F944" s="90"/>
      <c r="I944" s="69"/>
    </row>
    <row r="945">
      <c r="B945" s="126"/>
      <c r="D945" s="90"/>
      <c r="E945" s="90"/>
      <c r="F945" s="90"/>
      <c r="I945" s="69"/>
    </row>
    <row r="946">
      <c r="B946" s="126"/>
      <c r="D946" s="90"/>
      <c r="E946" s="90"/>
      <c r="F946" s="90"/>
      <c r="I946" s="69"/>
    </row>
    <row r="947">
      <c r="B947" s="126"/>
      <c r="D947" s="90"/>
      <c r="E947" s="90"/>
      <c r="F947" s="90"/>
      <c r="I947" s="69"/>
    </row>
    <row r="948">
      <c r="B948" s="126"/>
      <c r="D948" s="90"/>
      <c r="E948" s="90"/>
      <c r="F948" s="90"/>
      <c r="I948" s="69"/>
    </row>
    <row r="949">
      <c r="B949" s="126"/>
      <c r="D949" s="90"/>
      <c r="E949" s="90"/>
      <c r="F949" s="90"/>
      <c r="I949" s="69"/>
    </row>
    <row r="950">
      <c r="B950" s="126"/>
      <c r="D950" s="90"/>
      <c r="E950" s="90"/>
      <c r="F950" s="90"/>
      <c r="I950" s="69"/>
    </row>
    <row r="951">
      <c r="B951" s="126"/>
      <c r="D951" s="90"/>
      <c r="E951" s="90"/>
      <c r="F951" s="90"/>
      <c r="I951" s="69"/>
    </row>
    <row r="952">
      <c r="B952" s="126"/>
      <c r="D952" s="90"/>
      <c r="E952" s="90"/>
      <c r="F952" s="90"/>
      <c r="I952" s="69"/>
    </row>
    <row r="953">
      <c r="B953" s="126"/>
      <c r="D953" s="90"/>
      <c r="E953" s="90"/>
      <c r="F953" s="90"/>
      <c r="I953" s="69"/>
    </row>
    <row r="954">
      <c r="B954" s="126"/>
      <c r="D954" s="90"/>
      <c r="E954" s="90"/>
      <c r="F954" s="90"/>
      <c r="I954" s="69"/>
    </row>
    <row r="955">
      <c r="B955" s="126"/>
      <c r="D955" s="90"/>
      <c r="E955" s="90"/>
      <c r="F955" s="90"/>
      <c r="I955" s="69"/>
    </row>
    <row r="956">
      <c r="B956" s="126"/>
      <c r="D956" s="90"/>
      <c r="E956" s="90"/>
      <c r="F956" s="90"/>
      <c r="I956" s="69"/>
    </row>
    <row r="957">
      <c r="B957" s="126"/>
      <c r="D957" s="90"/>
      <c r="E957" s="90"/>
      <c r="F957" s="90"/>
      <c r="I957" s="69"/>
    </row>
    <row r="958">
      <c r="B958" s="126"/>
      <c r="D958" s="90"/>
      <c r="E958" s="90"/>
      <c r="F958" s="90"/>
      <c r="I958" s="69"/>
    </row>
    <row r="959">
      <c r="B959" s="126"/>
      <c r="D959" s="90"/>
      <c r="E959" s="90"/>
      <c r="F959" s="90"/>
      <c r="I959" s="69"/>
    </row>
    <row r="960">
      <c r="B960" s="126"/>
      <c r="D960" s="90"/>
      <c r="E960" s="90"/>
      <c r="F960" s="90"/>
      <c r="I960" s="69"/>
    </row>
    <row r="961">
      <c r="B961" s="126"/>
      <c r="D961" s="90"/>
      <c r="E961" s="90"/>
      <c r="F961" s="90"/>
      <c r="I961" s="69"/>
    </row>
    <row r="962">
      <c r="B962" s="126"/>
      <c r="D962" s="90"/>
      <c r="E962" s="90"/>
      <c r="F962" s="90"/>
      <c r="I962" s="69"/>
    </row>
    <row r="963">
      <c r="B963" s="126"/>
      <c r="D963" s="90"/>
      <c r="E963" s="90"/>
      <c r="F963" s="90"/>
      <c r="I963" s="69"/>
    </row>
    <row r="964">
      <c r="B964" s="126"/>
      <c r="D964" s="90"/>
      <c r="E964" s="90"/>
      <c r="F964" s="90"/>
      <c r="I964" s="69"/>
    </row>
    <row r="965">
      <c r="B965" s="126"/>
      <c r="D965" s="90"/>
      <c r="E965" s="90"/>
      <c r="F965" s="90"/>
      <c r="I965" s="69"/>
    </row>
    <row r="966">
      <c r="B966" s="126"/>
      <c r="D966" s="90"/>
      <c r="E966" s="90"/>
      <c r="F966" s="90"/>
      <c r="I966" s="69"/>
    </row>
    <row r="967">
      <c r="B967" s="126"/>
      <c r="D967" s="90"/>
      <c r="E967" s="90"/>
      <c r="F967" s="90"/>
      <c r="I967" s="69"/>
    </row>
    <row r="968">
      <c r="B968" s="126"/>
      <c r="D968" s="90"/>
      <c r="E968" s="90"/>
      <c r="F968" s="90"/>
      <c r="I968" s="69"/>
    </row>
    <row r="969">
      <c r="B969" s="126"/>
      <c r="D969" s="90"/>
      <c r="E969" s="90"/>
      <c r="F969" s="90"/>
      <c r="I969" s="69"/>
    </row>
    <row r="970">
      <c r="B970" s="126"/>
      <c r="D970" s="90"/>
      <c r="E970" s="90"/>
      <c r="F970" s="90"/>
      <c r="I970" s="69"/>
    </row>
    <row r="971">
      <c r="B971" s="126"/>
      <c r="D971" s="90"/>
      <c r="E971" s="90"/>
      <c r="F971" s="90"/>
      <c r="I971" s="69"/>
    </row>
    <row r="972">
      <c r="B972" s="126"/>
      <c r="D972" s="90"/>
      <c r="E972" s="90"/>
      <c r="F972" s="90"/>
      <c r="I972" s="69"/>
    </row>
    <row r="973">
      <c r="B973" s="126"/>
      <c r="D973" s="90"/>
      <c r="E973" s="90"/>
      <c r="F973" s="90"/>
      <c r="I973" s="69"/>
    </row>
    <row r="974">
      <c r="B974" s="126"/>
      <c r="D974" s="90"/>
      <c r="E974" s="90"/>
      <c r="F974" s="90"/>
      <c r="I974" s="69"/>
    </row>
    <row r="975">
      <c r="B975" s="126"/>
      <c r="D975" s="90"/>
      <c r="E975" s="90"/>
      <c r="F975" s="90"/>
      <c r="I975" s="69"/>
    </row>
    <row r="976">
      <c r="B976" s="126"/>
      <c r="D976" s="90"/>
      <c r="E976" s="90"/>
      <c r="F976" s="90"/>
      <c r="I976" s="69"/>
    </row>
    <row r="977">
      <c r="B977" s="126"/>
      <c r="D977" s="90"/>
      <c r="E977" s="90"/>
      <c r="F977" s="90"/>
      <c r="I977" s="69"/>
    </row>
    <row r="978">
      <c r="B978" s="126"/>
      <c r="D978" s="90"/>
      <c r="E978" s="90"/>
      <c r="F978" s="90"/>
      <c r="I978" s="69"/>
    </row>
    <row r="979">
      <c r="B979" s="126"/>
      <c r="D979" s="90"/>
      <c r="E979" s="90"/>
      <c r="F979" s="90"/>
      <c r="I979" s="69"/>
    </row>
    <row r="980">
      <c r="B980" s="126"/>
      <c r="D980" s="90"/>
      <c r="E980" s="90"/>
      <c r="F980" s="90"/>
      <c r="I980" s="69"/>
    </row>
    <row r="981">
      <c r="B981" s="126"/>
      <c r="D981" s="90"/>
      <c r="E981" s="90"/>
      <c r="F981" s="90"/>
      <c r="I981" s="69"/>
    </row>
    <row r="982">
      <c r="B982" s="126"/>
      <c r="D982" s="90"/>
      <c r="E982" s="90"/>
      <c r="F982" s="90"/>
      <c r="I982" s="69"/>
    </row>
    <row r="983">
      <c r="B983" s="126"/>
      <c r="D983" s="90"/>
      <c r="E983" s="90"/>
      <c r="F983" s="90"/>
      <c r="I983" s="69"/>
    </row>
    <row r="984">
      <c r="B984" s="126"/>
      <c r="D984" s="90"/>
      <c r="E984" s="90"/>
      <c r="F984" s="90"/>
      <c r="I984" s="69"/>
    </row>
    <row r="985">
      <c r="B985" s="126"/>
      <c r="D985" s="90"/>
      <c r="E985" s="90"/>
      <c r="F985" s="90"/>
      <c r="I985" s="69"/>
    </row>
    <row r="986">
      <c r="B986" s="126"/>
      <c r="D986" s="90"/>
      <c r="E986" s="90"/>
      <c r="F986" s="90"/>
      <c r="I986" s="69"/>
    </row>
    <row r="987">
      <c r="B987" s="126"/>
      <c r="D987" s="90"/>
      <c r="E987" s="90"/>
      <c r="F987" s="90"/>
      <c r="I987" s="69"/>
    </row>
    <row r="988">
      <c r="B988" s="126"/>
      <c r="D988" s="90"/>
      <c r="E988" s="90"/>
      <c r="F988" s="90"/>
      <c r="I988" s="69"/>
    </row>
    <row r="989">
      <c r="B989" s="126"/>
      <c r="D989" s="90"/>
      <c r="E989" s="90"/>
      <c r="F989" s="90"/>
      <c r="I989" s="69"/>
    </row>
    <row r="990">
      <c r="B990" s="126"/>
      <c r="D990" s="90"/>
      <c r="E990" s="90"/>
      <c r="F990" s="90"/>
      <c r="I990" s="69"/>
    </row>
    <row r="991">
      <c r="B991" s="126"/>
      <c r="D991" s="90"/>
      <c r="E991" s="90"/>
      <c r="F991" s="90"/>
      <c r="I991" s="69"/>
    </row>
    <row r="992">
      <c r="B992" s="126"/>
      <c r="D992" s="90"/>
      <c r="E992" s="90"/>
      <c r="F992" s="90"/>
      <c r="I992" s="69"/>
    </row>
    <row r="993">
      <c r="B993" s="126"/>
      <c r="D993" s="90"/>
      <c r="E993" s="90"/>
      <c r="F993" s="90"/>
      <c r="I993" s="69"/>
    </row>
    <row r="994">
      <c r="B994" s="126"/>
      <c r="D994" s="90"/>
      <c r="E994" s="90"/>
      <c r="F994" s="90"/>
      <c r="I994" s="69"/>
    </row>
    <row r="995">
      <c r="B995" s="126"/>
      <c r="D995" s="90"/>
      <c r="E995" s="90"/>
      <c r="F995" s="90"/>
      <c r="I995" s="69"/>
    </row>
    <row r="996">
      <c r="B996" s="126"/>
      <c r="D996" s="90"/>
      <c r="E996" s="90"/>
      <c r="F996" s="90"/>
      <c r="I996" s="69"/>
    </row>
    <row r="997">
      <c r="B997" s="126"/>
      <c r="D997" s="90"/>
      <c r="E997" s="90"/>
      <c r="F997" s="90"/>
      <c r="I997" s="69"/>
    </row>
    <row r="998">
      <c r="B998" s="126"/>
      <c r="D998" s="90"/>
      <c r="E998" s="90"/>
      <c r="F998" s="90"/>
      <c r="I998" s="69"/>
    </row>
    <row r="999">
      <c r="B999" s="126"/>
      <c r="D999" s="90"/>
      <c r="E999" s="90"/>
      <c r="F999" s="90"/>
      <c r="I999" s="69"/>
    </row>
    <row r="1000">
      <c r="B1000" s="126"/>
      <c r="D1000" s="90"/>
      <c r="E1000" s="90"/>
      <c r="F1000" s="90"/>
      <c r="I1000" s="69"/>
    </row>
    <row r="1001">
      <c r="B1001" s="126"/>
      <c r="D1001" s="90"/>
      <c r="E1001" s="90"/>
      <c r="F1001" s="90"/>
      <c r="I1001" s="69"/>
    </row>
    <row r="1002">
      <c r="B1002" s="126"/>
      <c r="D1002" s="90"/>
      <c r="E1002" s="90"/>
      <c r="F1002" s="90"/>
      <c r="I1002" s="69"/>
    </row>
    <row r="1003">
      <c r="B1003" s="126"/>
      <c r="D1003" s="90"/>
      <c r="E1003" s="90"/>
      <c r="F1003" s="90"/>
      <c r="I1003" s="69"/>
    </row>
    <row r="1004">
      <c r="B1004" s="126"/>
      <c r="D1004" s="90"/>
      <c r="E1004" s="90"/>
      <c r="F1004" s="90"/>
      <c r="I1004" s="69"/>
    </row>
    <row r="1005">
      <c r="B1005" s="126"/>
      <c r="D1005" s="90"/>
      <c r="E1005" s="90"/>
      <c r="F1005" s="90"/>
      <c r="I1005" s="69"/>
    </row>
    <row r="1006">
      <c r="B1006" s="126"/>
      <c r="D1006" s="90"/>
      <c r="E1006" s="90"/>
      <c r="F1006" s="90"/>
      <c r="I1006" s="69"/>
    </row>
    <row r="1007">
      <c r="B1007" s="126"/>
      <c r="D1007" s="90"/>
      <c r="E1007" s="90"/>
      <c r="F1007" s="90"/>
      <c r="I1007" s="69"/>
    </row>
    <row r="1008">
      <c r="B1008" s="126"/>
      <c r="D1008" s="90"/>
      <c r="E1008" s="90"/>
      <c r="F1008" s="90"/>
      <c r="I1008" s="69"/>
    </row>
    <row r="1009">
      <c r="B1009" s="126"/>
      <c r="D1009" s="90"/>
      <c r="E1009" s="90"/>
      <c r="F1009" s="90"/>
      <c r="I1009" s="69"/>
    </row>
    <row r="1010">
      <c r="B1010" s="126"/>
      <c r="D1010" s="90"/>
      <c r="E1010" s="90"/>
      <c r="F1010" s="90"/>
      <c r="I1010" s="69"/>
    </row>
    <row r="1011">
      <c r="B1011" s="126"/>
      <c r="D1011" s="90"/>
      <c r="E1011" s="90"/>
      <c r="F1011" s="90"/>
      <c r="I1011" s="69"/>
    </row>
    <row r="1012">
      <c r="B1012" s="126"/>
      <c r="D1012" s="90"/>
      <c r="E1012" s="90"/>
      <c r="F1012" s="90"/>
      <c r="I1012" s="69"/>
    </row>
    <row r="1013">
      <c r="B1013" s="126"/>
      <c r="D1013" s="90"/>
      <c r="E1013" s="90"/>
      <c r="F1013" s="90"/>
      <c r="I1013" s="69"/>
    </row>
    <row r="1014">
      <c r="B1014" s="126"/>
      <c r="D1014" s="90"/>
      <c r="E1014" s="90"/>
      <c r="F1014" s="90"/>
      <c r="I1014" s="69"/>
    </row>
    <row r="1015">
      <c r="B1015" s="126"/>
      <c r="D1015" s="90"/>
      <c r="E1015" s="90"/>
      <c r="F1015" s="90"/>
      <c r="I1015" s="69"/>
    </row>
    <row r="1016">
      <c r="B1016" s="126"/>
      <c r="D1016" s="90"/>
      <c r="E1016" s="90"/>
      <c r="F1016" s="90"/>
      <c r="I1016" s="69"/>
    </row>
    <row r="1017">
      <c r="B1017" s="126"/>
      <c r="D1017" s="90"/>
      <c r="E1017" s="90"/>
      <c r="F1017" s="90"/>
      <c r="I1017" s="69"/>
    </row>
    <row r="1018">
      <c r="B1018" s="126"/>
      <c r="D1018" s="90"/>
      <c r="E1018" s="90"/>
      <c r="F1018" s="90"/>
      <c r="I1018" s="69"/>
    </row>
    <row r="1019">
      <c r="B1019" s="126"/>
      <c r="D1019" s="90"/>
      <c r="E1019" s="90"/>
      <c r="F1019" s="90"/>
      <c r="I1019" s="69"/>
    </row>
    <row r="1020">
      <c r="B1020" s="126"/>
      <c r="D1020" s="90"/>
      <c r="E1020" s="90"/>
      <c r="F1020" s="90"/>
      <c r="I1020" s="69"/>
    </row>
    <row r="1021">
      <c r="B1021" s="126"/>
      <c r="D1021" s="90"/>
      <c r="E1021" s="90"/>
      <c r="F1021" s="90"/>
      <c r="I1021" s="69"/>
    </row>
    <row r="1022">
      <c r="B1022" s="126"/>
      <c r="D1022" s="90"/>
      <c r="E1022" s="90"/>
      <c r="F1022" s="90"/>
      <c r="I1022" s="69"/>
    </row>
    <row r="1023">
      <c r="B1023" s="126"/>
      <c r="D1023" s="90"/>
      <c r="E1023" s="90"/>
      <c r="F1023" s="90"/>
      <c r="I1023" s="69"/>
    </row>
    <row r="1024">
      <c r="B1024" s="126"/>
      <c r="D1024" s="90"/>
      <c r="E1024" s="90"/>
      <c r="F1024" s="90"/>
      <c r="I1024" s="69"/>
    </row>
    <row r="1025">
      <c r="B1025" s="126"/>
      <c r="D1025" s="90"/>
      <c r="E1025" s="90"/>
      <c r="F1025" s="90"/>
      <c r="I1025" s="69"/>
    </row>
    <row r="1026">
      <c r="B1026" s="126"/>
      <c r="D1026" s="90"/>
      <c r="E1026" s="90"/>
      <c r="F1026" s="90"/>
      <c r="I1026" s="69"/>
    </row>
    <row r="1027">
      <c r="B1027" s="126"/>
      <c r="D1027" s="90"/>
      <c r="E1027" s="90"/>
      <c r="F1027" s="90"/>
      <c r="I1027" s="69"/>
    </row>
    <row r="1028">
      <c r="B1028" s="126"/>
      <c r="D1028" s="90"/>
      <c r="E1028" s="90"/>
      <c r="F1028" s="90"/>
      <c r="I1028" s="69"/>
    </row>
    <row r="1029">
      <c r="B1029" s="126"/>
      <c r="D1029" s="90"/>
      <c r="E1029" s="90"/>
      <c r="F1029" s="90"/>
      <c r="I1029" s="69"/>
    </row>
    <row r="1030">
      <c r="B1030" s="126"/>
      <c r="D1030" s="90"/>
      <c r="E1030" s="90"/>
      <c r="F1030" s="90"/>
      <c r="I1030" s="69"/>
    </row>
    <row r="1031">
      <c r="B1031" s="126"/>
      <c r="D1031" s="90"/>
      <c r="E1031" s="90"/>
      <c r="F1031" s="90"/>
      <c r="I1031" s="69"/>
    </row>
    <row r="1032">
      <c r="B1032" s="126"/>
      <c r="D1032" s="90"/>
      <c r="E1032" s="90"/>
      <c r="F1032" s="90"/>
      <c r="I1032" s="69"/>
    </row>
    <row r="1033">
      <c r="B1033" s="126"/>
      <c r="D1033" s="90"/>
      <c r="E1033" s="90"/>
      <c r="F1033" s="90"/>
      <c r="I1033" s="69"/>
    </row>
    <row r="1034">
      <c r="B1034" s="126"/>
      <c r="D1034" s="90"/>
      <c r="E1034" s="90"/>
      <c r="F1034" s="90"/>
      <c r="I1034" s="69"/>
    </row>
    <row r="1035">
      <c r="B1035" s="126"/>
      <c r="D1035" s="90"/>
      <c r="E1035" s="90"/>
      <c r="F1035" s="90"/>
      <c r="I1035" s="69"/>
    </row>
    <row r="1036">
      <c r="B1036" s="126"/>
      <c r="D1036" s="90"/>
      <c r="E1036" s="90"/>
      <c r="F1036" s="90"/>
      <c r="I1036" s="69"/>
    </row>
  </sheetData>
  <mergeCells count="2">
    <mergeCell ref="G1:I1"/>
    <mergeCell ref="A39:F39"/>
  </mergeCells>
  <hyperlinks>
    <hyperlink r:id="rId1" ref="H2"/>
    <hyperlink r:id="rId2" ref="H3"/>
    <hyperlink r:id="rId3" ref="H4"/>
    <hyperlink r:id="rId4" ref="F43"/>
    <hyperlink r:id="rId5" ref="A44"/>
    <hyperlink r:id="rId6" ref="F53"/>
    <hyperlink r:id="rId7" ref="A54"/>
    <hyperlink r:id="rId8" ref="A55"/>
    <hyperlink r:id="rId9" ref="F65"/>
    <hyperlink r:id="rId10" location="page=28" ref="A66"/>
    <hyperlink r:id="rId11" ref="A67"/>
    <hyperlink r:id="rId12" ref="A76"/>
    <hyperlink r:id="rId13" ref="A77"/>
    <hyperlink r:id="rId14" ref="A78"/>
    <hyperlink r:id="rId15" ref="A79"/>
    <hyperlink r:id="rId16" ref="A80"/>
    <hyperlink r:id="rId17" ref="A81"/>
    <hyperlink r:id="rId18" ref="A82"/>
    <hyperlink r:id="rId19" ref="A83"/>
    <hyperlink r:id="rId20" ref="A84"/>
    <hyperlink r:id="rId21" ref="A85"/>
    <hyperlink r:id="rId22" ref="A86"/>
    <hyperlink r:id="rId23" ref="A87"/>
    <hyperlink r:id="rId24" ref="A90"/>
    <hyperlink r:id="rId25" ref="A91"/>
    <hyperlink r:id="rId26" ref="A92"/>
    <hyperlink r:id="rId27" ref="A93"/>
    <hyperlink r:id="rId28" ref="A94"/>
    <hyperlink r:id="rId29" ref="A95"/>
  </hyperlinks>
  <drawing r:id="rId30"/>
</worksheet>
</file>