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gure" sheetId="1" r:id="rId4"/>
    <sheet state="visible" name="Total Vehicle" sheetId="2" r:id="rId5"/>
    <sheet state="visible" name="Market Mix Batteries" sheetId="3" r:id="rId6"/>
    <sheet state="visible" name="Mineral Supplies" sheetId="4" r:id="rId7"/>
  </sheets>
  <definedNames/>
  <calcPr/>
</workbook>
</file>

<file path=xl/sharedStrings.xml><?xml version="1.0" encoding="utf-8"?>
<sst xmlns="http://schemas.openxmlformats.org/spreadsheetml/2006/main" count="353" uniqueCount="191">
  <si>
    <t>(kg)</t>
  </si>
  <si>
    <t>Material</t>
  </si>
  <si>
    <t>LD 2025-2035</t>
  </si>
  <si>
    <t>LD 2035-2050</t>
  </si>
  <si>
    <t>LD 2025-2050</t>
  </si>
  <si>
    <t>MD 2025-2035</t>
  </si>
  <si>
    <t>MD 2035-2050</t>
  </si>
  <si>
    <t>MD 2025-2050</t>
  </si>
  <si>
    <t>HD 2025-2035</t>
  </si>
  <si>
    <t>HD 2035-2050</t>
  </si>
  <si>
    <t>HD 2025-2050</t>
  </si>
  <si>
    <t>Li</t>
  </si>
  <si>
    <t>Mg</t>
  </si>
  <si>
    <t>Al</t>
  </si>
  <si>
    <t>Mn</t>
  </si>
  <si>
    <t>Fe</t>
  </si>
  <si>
    <t>Co</t>
  </si>
  <si>
    <t>Ni</t>
  </si>
  <si>
    <t>Cu</t>
  </si>
  <si>
    <t>Zn</t>
  </si>
  <si>
    <t>Pr</t>
  </si>
  <si>
    <t>Nd</t>
  </si>
  <si>
    <t>Dy</t>
  </si>
  <si>
    <t>Pb</t>
  </si>
  <si>
    <t>Gr</t>
  </si>
  <si>
    <t>Phosphate</t>
  </si>
  <si>
    <t>Cr</t>
  </si>
  <si>
    <t>(metric tonnes)</t>
  </si>
  <si>
    <t>LD</t>
  </si>
  <si>
    <t>MD</t>
  </si>
  <si>
    <t>HD</t>
  </si>
  <si>
    <t xml:space="preserve">Glider + Motor </t>
  </si>
  <si>
    <t xml:space="preserve">75 kWh 2032 Market Mix Battery </t>
  </si>
  <si>
    <t xml:space="preserve">Total Vehicle </t>
  </si>
  <si>
    <t xml:space="preserve">200 kWh 2032 Market Mix Battery </t>
  </si>
  <si>
    <t>Total Vehicle</t>
  </si>
  <si>
    <t xml:space="preserve">400 kWh 2032 Market Mix Battery </t>
  </si>
  <si>
    <t>Total Vehicle Weight (kg)</t>
  </si>
  <si>
    <t>Total Vehicle Weight (lbs)</t>
  </si>
  <si>
    <t>% of Stated Curb Weight</t>
  </si>
  <si>
    <t>Implications of Emerging Vehicle Technologies on Rare Earth Supply and Demand in the United States (Fishman et al., 2018)</t>
  </si>
  <si>
    <t>https://www.mdpi.com/2079-9276/7/1/9</t>
  </si>
  <si>
    <t>From page 3 of SI</t>
  </si>
  <si>
    <t>assumes 26.6 kWh NMC111 battery (looks like with pack, etc.), synchronous motor</t>
  </si>
  <si>
    <t>based on light duty vehicles from 2006-2017 (curb weight compared to Nissan Leaf)</t>
  </si>
  <si>
    <t>Total Vehicle (g)</t>
  </si>
  <si>
    <t>Battery Only (g)</t>
  </si>
  <si>
    <t>Glider + Motor (g)</t>
  </si>
  <si>
    <t>LD Glider + Motor (kg)</t>
  </si>
  <si>
    <t>MD Glider + Motor (kg)</t>
  </si>
  <si>
    <t>HD Glider + Motor (kg)</t>
  </si>
  <si>
    <t>LD Curb Weight (lbs)</t>
  </si>
  <si>
    <t>MD Curb Weight (lbs)</t>
  </si>
  <si>
    <t>HD Curb Weight (lbs)</t>
  </si>
  <si>
    <t>LD &gt; MD Scale</t>
  </si>
  <si>
    <t>LD &gt; HD Scale</t>
  </si>
  <si>
    <t>Battery</t>
  </si>
  <si>
    <t>2032 Market Mix</t>
  </si>
  <si>
    <t>NMC-111</t>
  </si>
  <si>
    <t>NMC-523</t>
  </si>
  <si>
    <t>NMC-622</t>
  </si>
  <si>
    <t>NMC-811</t>
  </si>
  <si>
    <t>NCA</t>
  </si>
  <si>
    <t>LFP</t>
  </si>
  <si>
    <t>2032 Market Mix Batteries</t>
  </si>
  <si>
    <t xml:space="preserve">75 kWh </t>
  </si>
  <si>
    <t>Mineral (kg)</t>
  </si>
  <si>
    <t>NMC111</t>
  </si>
  <si>
    <t>NMC523</t>
  </si>
  <si>
    <t>NMC622</t>
  </si>
  <si>
    <t>NMC811</t>
  </si>
  <si>
    <t>75 kWh (LD)</t>
  </si>
  <si>
    <t>200 kWh (MD)</t>
  </si>
  <si>
    <t>400 kWh (HD)</t>
  </si>
  <si>
    <t>Lithium</t>
  </si>
  <si>
    <t>Cobalt</t>
  </si>
  <si>
    <t>Nickel</t>
  </si>
  <si>
    <t>Manganese</t>
  </si>
  <si>
    <t>Graphite</t>
  </si>
  <si>
    <t>Aluminum</t>
  </si>
  <si>
    <t>Copper</t>
  </si>
  <si>
    <t>Iron</t>
  </si>
  <si>
    <t>Chromium</t>
  </si>
  <si>
    <t>FHWA Gross Vehicle Weight for Medium Duty 10,001 - 26,000 lbs</t>
  </si>
  <si>
    <t>https://afdc.energy.gov/data/10380</t>
  </si>
  <si>
    <t>Model</t>
  </si>
  <si>
    <t>Curb Weight (lbs)</t>
  </si>
  <si>
    <t>Gross Weight (lbs)</t>
  </si>
  <si>
    <t>Battery Weight (lbs)</t>
  </si>
  <si>
    <t>kWh</t>
  </si>
  <si>
    <t>Source</t>
  </si>
  <si>
    <t>2024 GMC Hummer EV</t>
  </si>
  <si>
    <t>https://www.edmunds.com/gmc/hummer-ev/2024/features-specs/</t>
  </si>
  <si>
    <t>https://insideevs.com/news/668428/hummer-ev-battery-teardown-reveals-excessive-complexity-weight/</t>
  </si>
  <si>
    <t>Lightning ZEV3 Transit Cargo Van</t>
  </si>
  <si>
    <t>https://lightningemotors.com/wp-content/uploads/2022/11/LeM_ZEV3_Transit_cargo_van_sheet_Nov2022_online.pdf</t>
  </si>
  <si>
    <t>FHWA Gross Vehicle Weight for Heavy Duty &gt; 26,001 lbs</t>
  </si>
  <si>
    <t>Proterra ZX5 Bus (DuoPower)</t>
  </si>
  <si>
    <t>https://www.proterra.com/wp-content/uploads/2020/09/Proterra-ZX5-Spec-Sheet-40-Foot-Bus-U.S..pdf</t>
  </si>
  <si>
    <t>Proterra ZX5+ Bus (DuoPower)</t>
  </si>
  <si>
    <t>Proterra ZX5MAX Bus (DuoPower)</t>
  </si>
  <si>
    <t>Volvo 7900 Bus (12 meter)</t>
  </si>
  <si>
    <t>https://www.zemo.org.uk/ugc-1/uploads/pageblocks/1469/e64019ba915b0ab24542fa9ae4e4d088.pdf</t>
  </si>
  <si>
    <t>https://www.volvobuses.com/en/city-and-intercity/buses/volvo-7900-electric/specifications.html</t>
  </si>
  <si>
    <t>BYD S12N01 Bus</t>
  </si>
  <si>
    <t>https://californiahvip.org/wp-content/uploads/2022/02/0512_BYD_Bus_2021-Cutsheets_Electric-School-Bus-Type-D-R12.21.pdf</t>
  </si>
  <si>
    <t>Kenworth T680E Semi Cab/tractor</t>
  </si>
  <si>
    <t>https://www.ccjdigital.com/test-drives/article/15296305/allelectric-kenworth-t680e-delivers-a-smooth-powerful-ride#:~:text=Curb%20weight%20for%20the%20T680E,is%20a%20slimmer%2015%2C500%20lbs.</t>
  </si>
  <si>
    <t>https://www.kenworth.com/media/qm5ly0sm/t680e-05-16-2022.pdf</t>
  </si>
  <si>
    <t>List of EV semis</t>
  </si>
  <si>
    <t>https://www.eesi.org/papers/view/fact-sheet-the-future-of-the-trucking-industry-electric-semi-trucks-2023</t>
  </si>
  <si>
    <t>FHWA Gross Vehicle Weight for Light Duty &lt; 10,000 lbs</t>
  </si>
  <si>
    <t>Nissan Leaf</t>
  </si>
  <si>
    <t>Steel and Iron Components of Batteries (based on 75 kWh)</t>
  </si>
  <si>
    <t>EV project cites steel use as for the casing (though apparently different companies may use aluminum or carbon fiber)</t>
  </si>
  <si>
    <t>Steel for casing generally looks like stainless steel:</t>
  </si>
  <si>
    <t>https://msecore.northwestern.edu/390/2023/group4__Battery_Casing.pdf</t>
  </si>
  <si>
    <t>https://www.seaisi.org/details/23855?type=news-rooms</t>
  </si>
  <si>
    <t>https://www.outokumpu.com/en/expertise/2021/safe-ev-battery-housings-using-high-performance-stainless-steels#:~:text=Stainless%20steel%20can%20save%20weight,the%20event%20of%20a%20fire.</t>
  </si>
  <si>
    <t>https://www.outokumpu.com/en/expertise/2022/stainless-steel-makes-a-powerful-case-for-ev-battery-modules</t>
  </si>
  <si>
    <t>We will use the stainless steel composition from the RMR project and disregard the Si, S, N, P, and C contents</t>
  </si>
  <si>
    <t>Stainless Steel</t>
  </si>
  <si>
    <t>Element</t>
  </si>
  <si>
    <t>Proportion</t>
  </si>
  <si>
    <t>NMC111 (20 kgs)</t>
  </si>
  <si>
    <t>NMC523 (20 kgs)</t>
  </si>
  <si>
    <t>NMC622 (19 kgs)</t>
  </si>
  <si>
    <t>NMC811 (20 kgs)</t>
  </si>
  <si>
    <t>NCA (17 kgs)</t>
  </si>
  <si>
    <t>LFP (26 kgs)</t>
  </si>
  <si>
    <t>UNS S30400 / SAE 304</t>
  </si>
  <si>
    <t>https://bssa.org.uk/bssa_articles/chemical-compositions-of-aisi-astm-asme-and-uns-austenitic-stainless-steel-grades/</t>
  </si>
  <si>
    <t>https://www.theworldmaterial.com/type-304-grade-stainless-steel/</t>
  </si>
  <si>
    <t>***LFP iron includes Fe from casing and battery (41 kgs)</t>
  </si>
  <si>
    <t>All in metric tonnes; in terms of elemental metal/material content</t>
  </si>
  <si>
    <t xml:space="preserve">Production numbers were taken from the USGS 2024 Mineral Commodity Summaries (below) with the exception of lithium which the report withheld to avoid disclosing proprietary data. Lithium production instead was taken from separate documents quoting production capacities (below in Lithium section). These were stated in terms of lithium carbonate and then converted into lithium content. </t>
  </si>
  <si>
    <t>https://pubs.usgs.gov/publication/mcs2024</t>
  </si>
  <si>
    <t>U.S. production considers 5 year averages of both mine production and secondary production from post consumer recycled scrap</t>
  </si>
  <si>
    <t>Partner country production only considers 2023 mine production</t>
  </si>
  <si>
    <t>Partner country eligibility considers Free Trade Agreements and Ally Treaties</t>
  </si>
  <si>
    <t>REE production numbers were factored down to account only for Nd, Pr, Dy, Tb based on respective proportions of US and Australia deposits taken from 2020 tables-release only USGS Minerals Yearbook for REEs Table 2 (below). US proportions for Dy and Tb were listed as "NA" due to their small size so these proportions were estimated to be 0.072% each based on company filings (also below). Production for US and Australia were then converted from oxide to metal form by applying a single stoichiometric ratio that was derived from weighting individual stoichiometric ratios by the deposit proportions previously mentioned.</t>
  </si>
  <si>
    <r>
      <rPr>
        <color rgb="FF1155CC"/>
        <u/>
      </rPr>
      <t>https://www.usgs.gov/centers/national-minerals-information-center/rare-earths-statistics-and-information</t>
    </r>
    <r>
      <rPr/>
      <t xml:space="preserve"> </t>
    </r>
  </si>
  <si>
    <t>https://www.sec.gov/Archives/edgar/data/1801368/000180136822000010/d215279dex961.htm</t>
  </si>
  <si>
    <t>Rare Earth Elements</t>
  </si>
  <si>
    <t xml:space="preserve">Lithium </t>
  </si>
  <si>
    <t>2019 U.S. mine</t>
  </si>
  <si>
    <t>Silver Peak capacity</t>
  </si>
  <si>
    <t>https://www.miningmagazine.com/supply-chain-management/news/1402188/ablemarle-to-double-silver-peak-lithium-production</t>
  </si>
  <si>
    <t>2020 U.S. mine</t>
  </si>
  <si>
    <t>U.S. Magnesium capacity</t>
  </si>
  <si>
    <t>https://usmagnesium.com/about-us-mag/</t>
  </si>
  <si>
    <t>2021 U.S. mine</t>
  </si>
  <si>
    <t>U.S. TOTAL</t>
  </si>
  <si>
    <t>2022 U.S. mine</t>
  </si>
  <si>
    <t>2023 U.S. mine</t>
  </si>
  <si>
    <t>Avg. U.S. mine</t>
  </si>
  <si>
    <t>2019 U.S. recycling</t>
  </si>
  <si>
    <t>2020 U.S. recycling</t>
  </si>
  <si>
    <t>2021 U.S. recycling</t>
  </si>
  <si>
    <t>2022 U.S. recycling</t>
  </si>
  <si>
    <t>2023 U.S. recycling</t>
  </si>
  <si>
    <t>Avg U.S. recycling</t>
  </si>
  <si>
    <t>U.S. Avg TOTAL</t>
  </si>
  <si>
    <t>% Nd, Pr, Dy, Tb</t>
  </si>
  <si>
    <t>Australia</t>
  </si>
  <si>
    <t>Canada</t>
  </si>
  <si>
    <t>REO to REE</t>
  </si>
  <si>
    <t>Germany</t>
  </si>
  <si>
    <t>Chile</t>
  </si>
  <si>
    <t>New Caledonia (France)</t>
  </si>
  <si>
    <t>South Korea</t>
  </si>
  <si>
    <t>Mexico</t>
  </si>
  <si>
    <t>Philipines</t>
  </si>
  <si>
    <t>Partner TOTAL</t>
  </si>
  <si>
    <t>Portugal</t>
  </si>
  <si>
    <t>Peru</t>
  </si>
  <si>
    <t>Norway</t>
  </si>
  <si>
    <t>Poland</t>
  </si>
  <si>
    <t>Turkey</t>
  </si>
  <si>
    <t>Partners TOTAL</t>
  </si>
  <si>
    <t>REO to REE Conversion</t>
  </si>
  <si>
    <t>https://www.jcu.edu.au/advanced-analytical-centre/resources/element-to-stoichiometric-oxide-conversion-factors</t>
  </si>
  <si>
    <t>US</t>
  </si>
  <si>
    <t>Deposit Proportion (%)</t>
  </si>
  <si>
    <t>Deposit Proportion (decimal)</t>
  </si>
  <si>
    <t>Stoichiometric Ratio</t>
  </si>
  <si>
    <t>Weighted Ratio</t>
  </si>
  <si>
    <t>Conversion Factor</t>
  </si>
  <si>
    <t>Tb</t>
  </si>
  <si>
    <t>Sum</t>
  </si>
  <si>
    <t>Aus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</si>
</sst>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000"/>
    <numFmt numFmtId="166" formatCode="0.000%"/>
  </numFmts>
  <fonts count="13">
    <font>
      <sz val="10.0"/>
      <color rgb="FF000000"/>
      <name val="Arial"/>
      <scheme val="minor"/>
    </font>
    <font>
      <b/>
      <color theme="1"/>
      <name val="Arial"/>
      <scheme val="minor"/>
    </font>
    <font>
      <b/>
      <color theme="1"/>
      <name val="Arial"/>
    </font>
    <font>
      <color theme="1"/>
      <name val="Arial"/>
    </font>
    <font>
      <i/>
      <color theme="1"/>
      <name val="Arial"/>
    </font>
    <font>
      <color theme="1"/>
      <name val="Arial"/>
      <scheme val="minor"/>
    </font>
    <font>
      <i/>
      <color theme="1"/>
      <name val="Arial"/>
      <scheme val="minor"/>
    </font>
    <font>
      <u/>
      <color rgb="FF0000FF"/>
    </font>
    <font>
      <u/>
      <color rgb="FF0000FF"/>
    </font>
    <font>
      <u/>
      <color rgb="FF0000FF"/>
    </font>
    <font>
      <u/>
      <color rgb="FF1155CC"/>
      <name val="Arial"/>
    </font>
    <font>
      <u/>
      <color rgb="FF1155CC"/>
      <name val="Arial"/>
    </font>
    <font>
      <u/>
      <color rgb="FF0000FF"/>
    </font>
  </fonts>
  <fills count="7">
    <fill>
      <patternFill patternType="none"/>
    </fill>
    <fill>
      <patternFill patternType="lightGray"/>
    </fill>
    <fill>
      <patternFill patternType="solid">
        <fgColor rgb="FFD9EAD3"/>
        <bgColor rgb="FFD9EAD3"/>
      </patternFill>
    </fill>
    <fill>
      <patternFill patternType="solid">
        <fgColor rgb="FFCFE2F3"/>
        <bgColor rgb="FFCFE2F3"/>
      </patternFill>
    </fill>
    <fill>
      <patternFill patternType="solid">
        <fgColor rgb="FFFFF2CC"/>
        <bgColor rgb="FFFFF2CC"/>
      </patternFill>
    </fill>
    <fill>
      <patternFill patternType="solid">
        <fgColor rgb="FFD9D9D9"/>
        <bgColor rgb="FFD9D9D9"/>
      </patternFill>
    </fill>
    <fill>
      <patternFill patternType="solid">
        <fgColor rgb="FF00FF00"/>
        <bgColor rgb="FF00FF00"/>
      </patternFill>
    </fill>
  </fills>
  <borders count="1">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readingOrder="0" vertical="bottom"/>
    </xf>
    <xf borderId="0" fillId="0" fontId="3" numFmtId="0" xfId="0" applyAlignment="1" applyFont="1">
      <alignment vertical="bottom"/>
    </xf>
    <xf borderId="0" fillId="0" fontId="1" numFmtId="0" xfId="0" applyAlignment="1" applyFont="1">
      <alignment readingOrder="0"/>
    </xf>
    <xf borderId="0" fillId="2" fontId="1" numFmtId="0" xfId="0" applyAlignment="1" applyFill="1" applyFont="1">
      <alignment readingOrder="0"/>
    </xf>
    <xf borderId="0" fillId="3" fontId="1" numFmtId="0" xfId="0" applyAlignment="1" applyFill="1" applyFont="1">
      <alignment readingOrder="0"/>
    </xf>
    <xf borderId="0" fillId="4" fontId="1" numFmtId="0" xfId="0" applyAlignment="1" applyFill="1" applyFont="1">
      <alignment readingOrder="0"/>
    </xf>
    <xf borderId="0" fillId="0" fontId="4" numFmtId="3" xfId="0" applyAlignment="1" applyFont="1" applyNumberFormat="1">
      <alignment horizontal="right" vertical="bottom"/>
    </xf>
    <xf borderId="0" fillId="0" fontId="3" numFmtId="0" xfId="0" applyAlignment="1" applyFont="1">
      <alignment horizontal="right" vertical="bottom"/>
    </xf>
    <xf borderId="0" fillId="0" fontId="5" numFmtId="0" xfId="0" applyAlignment="1" applyFont="1">
      <alignment readingOrder="0"/>
    </xf>
    <xf borderId="0" fillId="2" fontId="5" numFmtId="3" xfId="0" applyFont="1" applyNumberFormat="1"/>
    <xf borderId="0" fillId="3" fontId="5" numFmtId="3" xfId="0" applyFont="1" applyNumberFormat="1"/>
    <xf borderId="0" fillId="4" fontId="5" numFmtId="3" xfId="0" applyFont="1" applyNumberFormat="1"/>
    <xf borderId="0" fillId="0" fontId="3" numFmtId="3" xfId="0" applyAlignment="1" applyFont="1" applyNumberFormat="1">
      <alignment horizontal="right" vertical="bottom"/>
    </xf>
    <xf borderId="0" fillId="0" fontId="3" numFmtId="3" xfId="0" applyAlignment="1" applyFont="1" applyNumberFormat="1">
      <alignment vertical="bottom"/>
    </xf>
    <xf borderId="0" fillId="0" fontId="5" numFmtId="3" xfId="0" applyFont="1" applyNumberFormat="1"/>
    <xf borderId="0" fillId="2" fontId="1" numFmtId="0" xfId="0" applyAlignment="1" applyFont="1">
      <alignment horizontal="center" readingOrder="0"/>
    </xf>
    <xf borderId="0" fillId="3" fontId="1" numFmtId="0" xfId="0" applyAlignment="1" applyFont="1">
      <alignment horizontal="center" readingOrder="0"/>
    </xf>
    <xf borderId="0" fillId="4" fontId="1" numFmtId="0" xfId="0" applyAlignment="1" applyFont="1">
      <alignment horizontal="center" readingOrder="0"/>
    </xf>
    <xf borderId="0" fillId="2" fontId="6" numFmtId="3" xfId="0" applyFont="1" applyNumberFormat="1"/>
    <xf borderId="0" fillId="3" fontId="6" numFmtId="3" xfId="0" applyFont="1" applyNumberFormat="1"/>
    <xf borderId="0" fillId="4" fontId="6" numFmtId="3" xfId="0" applyFont="1" applyNumberFormat="1"/>
    <xf borderId="0" fillId="2" fontId="5" numFmtId="0" xfId="0" applyFont="1"/>
    <xf borderId="0" fillId="2" fontId="5" numFmtId="164" xfId="0" applyFont="1" applyNumberFormat="1"/>
    <xf borderId="0" fillId="2" fontId="5" numFmtId="165" xfId="0" applyFont="1" applyNumberFormat="1"/>
    <xf borderId="0" fillId="3" fontId="5" numFmtId="164" xfId="0" applyFont="1" applyNumberFormat="1"/>
    <xf borderId="0" fillId="4" fontId="5" numFmtId="165" xfId="0" applyFont="1" applyNumberFormat="1"/>
    <xf borderId="0" fillId="4" fontId="5" numFmtId="164" xfId="0" applyFont="1" applyNumberFormat="1"/>
    <xf borderId="0" fillId="2" fontId="5" numFmtId="0" xfId="0" applyAlignment="1" applyFont="1">
      <alignment readingOrder="0"/>
    </xf>
    <xf borderId="0" fillId="3" fontId="5" numFmtId="0" xfId="0" applyAlignment="1" applyFont="1">
      <alignment readingOrder="0"/>
    </xf>
    <xf borderId="0" fillId="4" fontId="5" numFmtId="0" xfId="0" applyAlignment="1" applyFont="1">
      <alignment readingOrder="0"/>
    </xf>
    <xf borderId="0" fillId="0" fontId="5" numFmtId="165" xfId="0" applyFont="1" applyNumberFormat="1"/>
    <xf borderId="0" fillId="0" fontId="5" numFmtId="164" xfId="0" applyFont="1" applyNumberFormat="1"/>
    <xf borderId="0" fillId="0" fontId="5" numFmtId="0" xfId="0" applyFont="1"/>
    <xf borderId="0" fillId="5" fontId="5" numFmtId="0" xfId="0" applyFill="1" applyFont="1"/>
    <xf borderId="0" fillId="5" fontId="1" numFmtId="0" xfId="0" applyAlignment="1" applyFont="1">
      <alignment readingOrder="0"/>
    </xf>
    <xf borderId="0" fillId="0" fontId="7" numFmtId="0" xfId="0" applyAlignment="1" applyFont="1">
      <alignment readingOrder="0"/>
    </xf>
    <xf borderId="0" fillId="0" fontId="2" numFmtId="0" xfId="0" applyAlignment="1" applyFont="1">
      <alignment horizontal="right" vertical="bottom"/>
    </xf>
    <xf borderId="0" fillId="0" fontId="5" numFmtId="0" xfId="0" applyAlignment="1" applyFont="1">
      <alignment horizontal="right" readingOrder="0"/>
    </xf>
    <xf borderId="0" fillId="0" fontId="5" numFmtId="4" xfId="0" applyFont="1" applyNumberFormat="1"/>
    <xf borderId="0" fillId="0" fontId="5" numFmtId="3" xfId="0" applyAlignment="1" applyFont="1" applyNumberFormat="1">
      <alignment readingOrder="0"/>
    </xf>
    <xf borderId="0" fillId="0" fontId="5" numFmtId="1" xfId="0" applyFont="1" applyNumberFormat="1"/>
    <xf borderId="0" fillId="0" fontId="2" numFmtId="0" xfId="0" applyAlignment="1" applyFont="1">
      <alignment horizontal="right" readingOrder="0" vertical="bottom"/>
    </xf>
    <xf borderId="0" fillId="0" fontId="3" numFmtId="10" xfId="0" applyAlignment="1" applyFont="1" applyNumberFormat="1">
      <alignment horizontal="right" readingOrder="0" vertical="bottom"/>
    </xf>
    <xf borderId="0" fillId="0" fontId="3" numFmtId="10" xfId="0" applyAlignment="1" applyFont="1" applyNumberFormat="1">
      <alignment horizontal="right" vertical="bottom"/>
    </xf>
    <xf borderId="0" fillId="5" fontId="1" numFmtId="0" xfId="0" applyAlignment="1" applyFont="1">
      <alignment horizontal="center" readingOrder="0"/>
    </xf>
    <xf borderId="0" fillId="0" fontId="2" numFmtId="0" xfId="0" applyAlignment="1" applyFont="1">
      <alignment vertical="bottom"/>
    </xf>
    <xf borderId="0" fillId="2" fontId="1" numFmtId="0" xfId="0" applyAlignment="1" applyFont="1">
      <alignment horizontal="right" readingOrder="0"/>
    </xf>
    <xf borderId="0" fillId="3" fontId="1" numFmtId="0" xfId="0" applyAlignment="1" applyFont="1">
      <alignment horizontal="right" readingOrder="0"/>
    </xf>
    <xf borderId="0" fillId="4" fontId="1" numFmtId="0" xfId="0" applyAlignment="1" applyFont="1">
      <alignment horizontal="right" readingOrder="0"/>
    </xf>
    <xf borderId="0" fillId="0" fontId="3" numFmtId="4" xfId="0" applyAlignment="1" applyFont="1" applyNumberFormat="1">
      <alignment horizontal="right" vertical="bottom"/>
    </xf>
    <xf borderId="0" fillId="0" fontId="5" numFmtId="4" xfId="0" applyAlignment="1" applyFont="1" applyNumberFormat="1">
      <alignment readingOrder="0"/>
    </xf>
    <xf borderId="0" fillId="5" fontId="5" numFmtId="0" xfId="0" applyAlignment="1" applyFont="1">
      <alignment readingOrder="0"/>
    </xf>
    <xf borderId="0" fillId="0" fontId="5" numFmtId="0" xfId="0" applyAlignment="1" applyFont="1">
      <alignment shrinkToFit="0" wrapText="0"/>
    </xf>
    <xf borderId="0" fillId="0" fontId="1" numFmtId="0" xfId="0" applyAlignment="1" applyFont="1">
      <alignment readingOrder="0" shrinkToFit="0" wrapText="0"/>
    </xf>
    <xf borderId="0" fillId="6" fontId="5" numFmtId="0" xfId="0" applyAlignment="1" applyFill="1" applyFont="1">
      <alignment readingOrder="0"/>
    </xf>
    <xf borderId="0" fillId="6" fontId="5" numFmtId="3" xfId="0" applyAlignment="1" applyFont="1" applyNumberFormat="1">
      <alignment readingOrder="0"/>
    </xf>
    <xf borderId="0" fillId="0" fontId="8" numFmtId="0" xfId="0" applyAlignment="1" applyFont="1">
      <alignment readingOrder="0" shrinkToFit="0" wrapText="0"/>
    </xf>
    <xf borderId="0" fillId="0" fontId="9" numFmtId="0" xfId="0" applyAlignment="1" applyFont="1">
      <alignment readingOrder="0" shrinkToFit="0" wrapText="0"/>
    </xf>
    <xf borderId="0" fillId="0" fontId="5" numFmtId="0" xfId="0" applyAlignment="1" applyFont="1">
      <alignment readingOrder="0" shrinkToFit="0" wrapText="0"/>
    </xf>
    <xf borderId="0" fillId="0" fontId="5" numFmtId="166" xfId="0" applyAlignment="1" applyFont="1" applyNumberFormat="1">
      <alignment readingOrder="0"/>
    </xf>
    <xf borderId="0" fillId="0" fontId="10" numFmtId="0" xfId="0" applyAlignment="1" applyFont="1">
      <alignment vertical="bottom"/>
    </xf>
    <xf borderId="0" fillId="0" fontId="3" numFmtId="0" xfId="0" applyAlignment="1" applyFont="1">
      <alignment readingOrder="0" vertical="bottom"/>
    </xf>
    <xf borderId="0" fillId="0" fontId="3" numFmtId="0" xfId="0" applyAlignment="1" applyFont="1">
      <alignment horizontal="right" readingOrder="0" vertical="bottom"/>
    </xf>
    <xf borderId="0" fillId="0" fontId="11" numFmtId="0" xfId="0" applyAlignment="1" applyFont="1">
      <alignment vertical="bottom"/>
    </xf>
    <xf borderId="0" fillId="0" fontId="12" numFmtId="0" xfId="0" applyAlignment="1" applyFont="1">
      <alignment readingOrder="0"/>
    </xf>
    <xf borderId="0" fillId="0" fontId="3" numFmtId="164" xfId="0" applyAlignment="1" applyFont="1" applyNumberFormat="1">
      <alignment horizontal="right" vertical="bottom"/>
    </xf>
    <xf borderId="0" fillId="0" fontId="3" numFmtId="164" xfId="0" applyAlignment="1" applyFont="1" applyNumberFormat="1">
      <alignment vertical="bottom"/>
    </xf>
    <xf borderId="0" fillId="0" fontId="4" numFmtId="0" xfId="0" applyAlignment="1" applyFont="1">
      <alignment readingOrder="0" vertical="bottom"/>
    </xf>
    <xf borderId="0" fillId="0" fontId="4" numFmtId="0" xfId="0" applyAlignment="1" applyFont="1">
      <alignment vertical="bottom"/>
    </xf>
    <xf borderId="0" fillId="0" fontId="6" numFmtId="0" xfId="0" applyAlignment="1" applyFont="1">
      <alignment readingOrder="0"/>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mdpi.com/2079-9276/7/1/9"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www.outokumpu.com/en/expertise/2022/stainless-steel-makes-a-powerful-case-for-ev-battery-modules" TargetMode="External"/><Relationship Id="rId11" Type="http://schemas.openxmlformats.org/officeDocument/2006/relationships/hyperlink" Target="https://californiahvip.org/wp-content/uploads/2022/02/0512_BYD_Bus_2021-Cutsheets_Electric-School-Bus-Type-D-R12.21.pdf" TargetMode="External"/><Relationship Id="rId22" Type="http://schemas.openxmlformats.org/officeDocument/2006/relationships/hyperlink" Target="https://www.theworldmaterial.com/type-304-grade-stainless-steel/" TargetMode="External"/><Relationship Id="rId10" Type="http://schemas.openxmlformats.org/officeDocument/2006/relationships/hyperlink" Target="https://www.volvobuses.com/en/city-and-intercity/buses/volvo-7900-electric/specifications.html" TargetMode="External"/><Relationship Id="rId21" Type="http://schemas.openxmlformats.org/officeDocument/2006/relationships/hyperlink" Target="https://bssa.org.uk/bssa_articles/chemical-compositions-of-aisi-astm-asme-and-uns-austenitic-stainless-steel-grades/" TargetMode="External"/><Relationship Id="rId13" Type="http://schemas.openxmlformats.org/officeDocument/2006/relationships/hyperlink" Target="https://www.kenworth.com/media/qm5ly0sm/t680e-05-16-2022.pdf" TargetMode="External"/><Relationship Id="rId12" Type="http://schemas.openxmlformats.org/officeDocument/2006/relationships/hyperlink" Target="https://www.ccjdigital.com/test-drives/article/15296305/allelectric-kenworth-t680e-delivers-a-smooth-powerful-ride" TargetMode="External"/><Relationship Id="rId23" Type="http://schemas.openxmlformats.org/officeDocument/2006/relationships/drawing" Target="../drawings/drawing3.xml"/><Relationship Id="rId1" Type="http://schemas.openxmlformats.org/officeDocument/2006/relationships/hyperlink" Target="https://afdc.energy.gov/data/10380" TargetMode="External"/><Relationship Id="rId2" Type="http://schemas.openxmlformats.org/officeDocument/2006/relationships/hyperlink" Target="https://www.edmunds.com/gmc/hummer-ev/2024/features-specs/" TargetMode="External"/><Relationship Id="rId3" Type="http://schemas.openxmlformats.org/officeDocument/2006/relationships/hyperlink" Target="https://insideevs.com/news/668428/hummer-ev-battery-teardown-reveals-excessive-complexity-weight/" TargetMode="External"/><Relationship Id="rId4" Type="http://schemas.openxmlformats.org/officeDocument/2006/relationships/hyperlink" Target="https://lightningemotors.com/wp-content/uploads/2022/11/LeM_ZEV3_Transit_cargo_van_sheet_Nov2022_online.pdf" TargetMode="External"/><Relationship Id="rId9" Type="http://schemas.openxmlformats.org/officeDocument/2006/relationships/hyperlink" Target="https://www.zemo.org.uk/ugc-1/uploads/pageblocks/1469/e64019ba915b0ab24542fa9ae4e4d088.pdf" TargetMode="External"/><Relationship Id="rId15" Type="http://schemas.openxmlformats.org/officeDocument/2006/relationships/hyperlink" Target="https://afdc.energy.gov/data/10380" TargetMode="External"/><Relationship Id="rId14" Type="http://schemas.openxmlformats.org/officeDocument/2006/relationships/hyperlink" Target="https://www.eesi.org/papers/view/fact-sheet-the-future-of-the-trucking-industry-electric-semi-trucks-2023" TargetMode="External"/><Relationship Id="rId17" Type="http://schemas.openxmlformats.org/officeDocument/2006/relationships/hyperlink" Target="https://msecore.northwestern.edu/390/2023/group4__Battery_Casing.pdf" TargetMode="External"/><Relationship Id="rId16" Type="http://schemas.openxmlformats.org/officeDocument/2006/relationships/hyperlink" Target="https://www.mdpi.com/2079-9276/7/1/9" TargetMode="External"/><Relationship Id="rId5" Type="http://schemas.openxmlformats.org/officeDocument/2006/relationships/hyperlink" Target="https://afdc.energy.gov/data/10380" TargetMode="External"/><Relationship Id="rId19" Type="http://schemas.openxmlformats.org/officeDocument/2006/relationships/hyperlink" Target="https://www.outokumpu.com/en/expertise/2021/safe-ev-battery-housings-using-high-performance-stainless-steels" TargetMode="External"/><Relationship Id="rId6" Type="http://schemas.openxmlformats.org/officeDocument/2006/relationships/hyperlink" Target="https://www.proterra.com/wp-content/uploads/2020/09/Proterra-ZX5-Spec-Sheet-40-Foot-Bus-U.S..pdf" TargetMode="External"/><Relationship Id="rId18" Type="http://schemas.openxmlformats.org/officeDocument/2006/relationships/hyperlink" Target="https://www.seaisi.org/details/23855?type=news-rooms" TargetMode="External"/><Relationship Id="rId7" Type="http://schemas.openxmlformats.org/officeDocument/2006/relationships/hyperlink" Target="https://www.proterra.com/wp-content/uploads/2020/09/Proterra-ZX5-Spec-Sheet-40-Foot-Bus-U.S..pdf" TargetMode="External"/><Relationship Id="rId8" Type="http://schemas.openxmlformats.org/officeDocument/2006/relationships/hyperlink" Target="https://www.proterra.com/wp-content/uploads/2020/09/Proterra-ZX5-Spec-Sheet-40-Foot-Bus-U.S..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pubs.usgs.gov/publication/mcs2024" TargetMode="External"/><Relationship Id="rId2" Type="http://schemas.openxmlformats.org/officeDocument/2006/relationships/hyperlink" Target="https://www.usgs.gov/centers/national-minerals-information-center/rare-earths-statistics-and-information" TargetMode="External"/><Relationship Id="rId3" Type="http://schemas.openxmlformats.org/officeDocument/2006/relationships/hyperlink" Target="https://www.sec.gov/Archives/edgar/data/1801368/000180136822000010/d215279dex961.htm" TargetMode="External"/><Relationship Id="rId4" Type="http://schemas.openxmlformats.org/officeDocument/2006/relationships/hyperlink" Target="https://www.miningmagazine.com/supply-chain-management/news/1402188/ablemarle-to-double-silver-peak-lithium-production" TargetMode="External"/><Relationship Id="rId5" Type="http://schemas.openxmlformats.org/officeDocument/2006/relationships/hyperlink" Target="https://usmagnesium.com/about-us-mag/" TargetMode="External"/><Relationship Id="rId6" Type="http://schemas.openxmlformats.org/officeDocument/2006/relationships/hyperlink" Target="https://www.jcu.edu.au/advanced-analytical-centre/resources/element-to-stoichiometric-oxide-conversion-factors" TargetMode="External"/><Relationship Id="rId7"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0"/>
    <col customWidth="1" min="2" max="2" width="14.5"/>
    <col customWidth="1" min="3" max="4" width="14.0"/>
    <col customWidth="1" min="5" max="7" width="13.25"/>
    <col customWidth="1" min="11" max="11" width="18.88"/>
    <col customWidth="1" min="12" max="12" width="18.0"/>
    <col customWidth="1" min="13" max="13" width="18.75"/>
  </cols>
  <sheetData>
    <row r="1">
      <c r="A1" s="1" t="s">
        <v>0</v>
      </c>
      <c r="K1" s="2"/>
      <c r="L1" s="2"/>
      <c r="M1" s="2"/>
      <c r="N1" s="3"/>
    </row>
    <row r="2">
      <c r="A2" s="4" t="s">
        <v>1</v>
      </c>
      <c r="B2" s="5" t="s">
        <v>2</v>
      </c>
      <c r="C2" s="5" t="s">
        <v>3</v>
      </c>
      <c r="D2" s="5" t="s">
        <v>4</v>
      </c>
      <c r="E2" s="6" t="s">
        <v>5</v>
      </c>
      <c r="F2" s="6" t="s">
        <v>6</v>
      </c>
      <c r="G2" s="6" t="s">
        <v>7</v>
      </c>
      <c r="H2" s="7" t="s">
        <v>8</v>
      </c>
      <c r="I2" s="7" t="s">
        <v>9</v>
      </c>
      <c r="J2" s="7" t="s">
        <v>10</v>
      </c>
      <c r="K2" s="8"/>
      <c r="L2" s="8"/>
      <c r="M2" s="8"/>
      <c r="N2" s="9"/>
    </row>
    <row r="3">
      <c r="A3" s="10" t="s">
        <v>11</v>
      </c>
      <c r="B3" s="11">
        <v>9.12622218787414E8</v>
      </c>
      <c r="C3" s="11">
        <v>1.7026091527900596E9</v>
      </c>
      <c r="D3" s="11">
        <v>2.6152313715774736E9</v>
      </c>
      <c r="E3" s="12">
        <v>3.938713590717333E7</v>
      </c>
      <c r="F3" s="12">
        <v>1.6896834994629332E8</v>
      </c>
      <c r="G3" s="12">
        <v>2.0835548585346666E8</v>
      </c>
      <c r="H3" s="13">
        <v>4.191740671872E7</v>
      </c>
      <c r="I3" s="13">
        <v>1.3815726466586667E8</v>
      </c>
      <c r="J3" s="13">
        <v>1.8007467138458666E8</v>
      </c>
      <c r="K3" s="14"/>
      <c r="L3" s="14"/>
      <c r="M3" s="14"/>
      <c r="N3" s="15"/>
    </row>
    <row r="4">
      <c r="A4" s="10" t="s">
        <v>12</v>
      </c>
      <c r="B4" s="11">
        <v>2.173708E7</v>
      </c>
      <c r="C4" s="11">
        <v>4.05532E7</v>
      </c>
      <c r="D4" s="11">
        <v>6.229028E7</v>
      </c>
      <c r="E4" s="12">
        <v>964125.6123374661</v>
      </c>
      <c r="F4" s="12">
        <v>4136038.5848200787</v>
      </c>
      <c r="G4" s="12">
        <v>5100164.197157545</v>
      </c>
      <c r="H4" s="13">
        <v>1273661.929241004</v>
      </c>
      <c r="I4" s="13">
        <v>4197913.516782584</v>
      </c>
      <c r="J4" s="13">
        <v>5471575.446023587</v>
      </c>
      <c r="K4" s="14"/>
      <c r="L4" s="14"/>
      <c r="M4" s="14"/>
      <c r="N4" s="3"/>
    </row>
    <row r="5">
      <c r="A5" s="10" t="s">
        <v>13</v>
      </c>
      <c r="B5" s="11">
        <v>1.3079749786410892E10</v>
      </c>
      <c r="C5" s="11">
        <v>2.440188420147868E10</v>
      </c>
      <c r="D5" s="11">
        <v>3.748163398788957E10</v>
      </c>
      <c r="E5" s="12">
        <v>5.729450906954312E8</v>
      </c>
      <c r="F5" s="12">
        <v>2.457898609657603E9</v>
      </c>
      <c r="G5" s="12">
        <v>3.030843700353034E9</v>
      </c>
      <c r="H5" s="13">
        <v>6.902129773439627E8</v>
      </c>
      <c r="I5" s="13">
        <v>2.2749006785321846E9</v>
      </c>
      <c r="J5" s="13">
        <v>2.9651136558761473E9</v>
      </c>
      <c r="K5" s="14"/>
      <c r="L5" s="14"/>
      <c r="M5" s="14"/>
      <c r="N5" s="3"/>
    </row>
    <row r="6">
      <c r="A6" s="10" t="s">
        <v>14</v>
      </c>
      <c r="B6" s="11">
        <v>1.6678586744698465E9</v>
      </c>
      <c r="C6" s="11">
        <v>3.1115957799994564E9</v>
      </c>
      <c r="D6" s="11">
        <v>4.779454454469303E9</v>
      </c>
      <c r="E6" s="12">
        <v>7.356029604510498E7</v>
      </c>
      <c r="F6" s="12">
        <v>3.1556906990128607E8</v>
      </c>
      <c r="G6" s="12">
        <v>3.8912936594639105E8</v>
      </c>
      <c r="H6" s="13">
        <v>9.332262706507817E7</v>
      </c>
      <c r="I6" s="13">
        <v>3.075857954014596E8</v>
      </c>
      <c r="J6" s="13">
        <v>4.009084224665377E8</v>
      </c>
      <c r="K6" s="14"/>
      <c r="L6" s="14"/>
      <c r="M6" s="14"/>
      <c r="N6" s="14"/>
    </row>
    <row r="7">
      <c r="A7" s="10" t="s">
        <v>15</v>
      </c>
      <c r="B7" s="11">
        <v>1.031931198905079E11</v>
      </c>
      <c r="C7" s="11">
        <v>1.925194749958939E11</v>
      </c>
      <c r="D7" s="11">
        <v>2.957125948864018E11</v>
      </c>
      <c r="E7" s="12">
        <v>4.571829609964226E9</v>
      </c>
      <c r="F7" s="12">
        <v>1.9612863124951706E10</v>
      </c>
      <c r="G7" s="12">
        <v>2.418469273491593E10</v>
      </c>
      <c r="H7" s="13">
        <v>5.991489176420265E9</v>
      </c>
      <c r="I7" s="13">
        <v>1.974758986031679E10</v>
      </c>
      <c r="J7" s="13">
        <v>2.5739079036737057E10</v>
      </c>
      <c r="K7" s="14"/>
      <c r="L7" s="14"/>
      <c r="M7" s="14"/>
      <c r="N7" s="16"/>
    </row>
    <row r="8">
      <c r="A8" s="10" t="s">
        <v>16</v>
      </c>
      <c r="B8" s="11">
        <v>3.542118758452808E8</v>
      </c>
      <c r="C8" s="11">
        <v>6.60825881099432E8</v>
      </c>
      <c r="D8" s="11">
        <v>1.0150377569447129E9</v>
      </c>
      <c r="E8" s="12">
        <v>1.5287148402314667E7</v>
      </c>
      <c r="F8" s="12">
        <v>6.5580910655978665E7</v>
      </c>
      <c r="G8" s="12">
        <v>8.086805905829333E7</v>
      </c>
      <c r="H8" s="13">
        <v>1.6269210806784E7</v>
      </c>
      <c r="I8" s="13">
        <v>5.3622345447573334E7</v>
      </c>
      <c r="J8" s="13">
        <v>6.989155625435734E7</v>
      </c>
      <c r="K8" s="14"/>
      <c r="L8" s="14"/>
      <c r="M8" s="14"/>
    </row>
    <row r="9">
      <c r="A9" s="10" t="s">
        <v>17</v>
      </c>
      <c r="B9" s="11">
        <v>2.468987601818215E9</v>
      </c>
      <c r="C9" s="11">
        <v>4.606200465474407E9</v>
      </c>
      <c r="D9" s="11">
        <v>7.075188067292623E9</v>
      </c>
      <c r="E9" s="12">
        <v>1.0655707063011198E8</v>
      </c>
      <c r="F9" s="12">
        <v>4.5712316940012795E8</v>
      </c>
      <c r="G9" s="12">
        <v>5.636802400302399E8</v>
      </c>
      <c r="H9" s="13">
        <v>1.1340240831129599E8</v>
      </c>
      <c r="I9" s="13">
        <v>3.7376755303455997E8</v>
      </c>
      <c r="J9" s="13">
        <v>4.8716996134585595E8</v>
      </c>
      <c r="K9" s="14"/>
      <c r="L9" s="14"/>
      <c r="M9" s="14"/>
    </row>
    <row r="10">
      <c r="A10" s="10" t="s">
        <v>18</v>
      </c>
      <c r="B10" s="11">
        <v>6.793985051535338E9</v>
      </c>
      <c r="C10" s="11">
        <v>1.267501589872802E10</v>
      </c>
      <c r="D10" s="11">
        <v>1.946900095026336E10</v>
      </c>
      <c r="E10" s="12">
        <v>2.9708527362110686E8</v>
      </c>
      <c r="F10" s="12">
        <v>1.2744772454490461E9</v>
      </c>
      <c r="G10" s="12">
        <v>1.571562519070153E9</v>
      </c>
      <c r="H10" s="13">
        <v>3.5302682235940963E8</v>
      </c>
      <c r="I10" s="13">
        <v>1.163555285233738E9</v>
      </c>
      <c r="J10" s="13">
        <v>1.5165821075931475E9</v>
      </c>
      <c r="K10" s="14"/>
      <c r="L10" s="14"/>
      <c r="M10" s="14"/>
    </row>
    <row r="11">
      <c r="A11" s="10" t="s">
        <v>19</v>
      </c>
      <c r="B11" s="11">
        <v>1.086854E7</v>
      </c>
      <c r="C11" s="11">
        <v>2.02766E7</v>
      </c>
      <c r="D11" s="11">
        <v>3.114514E7</v>
      </c>
      <c r="E11" s="12">
        <v>482062.80616873305</v>
      </c>
      <c r="F11" s="12">
        <v>2068019.2924100393</v>
      </c>
      <c r="G11" s="12">
        <v>2550082.0985787725</v>
      </c>
      <c r="H11" s="13">
        <v>636830.964620502</v>
      </c>
      <c r="I11" s="13">
        <v>2098956.758391292</v>
      </c>
      <c r="J11" s="13">
        <v>2735787.7230117936</v>
      </c>
      <c r="K11" s="14"/>
      <c r="L11" s="14"/>
      <c r="M11" s="14"/>
    </row>
    <row r="12">
      <c r="A12" s="10" t="s">
        <v>20</v>
      </c>
      <c r="B12" s="11">
        <v>54342.700000000004</v>
      </c>
      <c r="C12" s="11">
        <v>101383.0</v>
      </c>
      <c r="D12" s="11">
        <v>155725.7</v>
      </c>
      <c r="E12" s="12">
        <v>2410.314030843665</v>
      </c>
      <c r="F12" s="12">
        <v>10340.096462050196</v>
      </c>
      <c r="G12" s="12">
        <v>12750.410492893861</v>
      </c>
      <c r="H12" s="13">
        <v>3184.1548231025095</v>
      </c>
      <c r="I12" s="13">
        <v>10494.783791956455</v>
      </c>
      <c r="J12" s="13">
        <v>13678.938615058965</v>
      </c>
      <c r="K12" s="14"/>
      <c r="L12" s="14"/>
      <c r="M12" s="14"/>
    </row>
    <row r="13">
      <c r="A13" s="10" t="s">
        <v>21</v>
      </c>
      <c r="B13" s="11">
        <v>5.43427E7</v>
      </c>
      <c r="C13" s="11">
        <v>1.01383E8</v>
      </c>
      <c r="D13" s="11">
        <v>1.557257E8</v>
      </c>
      <c r="E13" s="12">
        <v>2410314.030843665</v>
      </c>
      <c r="F13" s="12">
        <v>1.0340096462050196E7</v>
      </c>
      <c r="G13" s="12">
        <v>1.2750410492893862E7</v>
      </c>
      <c r="H13" s="13">
        <v>3184154.8231025096</v>
      </c>
      <c r="I13" s="13">
        <v>1.0494783791956456E7</v>
      </c>
      <c r="J13" s="13">
        <v>1.3678938615058966E7</v>
      </c>
      <c r="K13" s="14"/>
      <c r="L13" s="14"/>
      <c r="M13" s="14"/>
    </row>
    <row r="14">
      <c r="A14" s="10" t="s">
        <v>22</v>
      </c>
      <c r="B14" s="11">
        <v>3695303.6</v>
      </c>
      <c r="C14" s="11">
        <v>6894044.000000002</v>
      </c>
      <c r="D14" s="11">
        <v>1.0589347600000001E7</v>
      </c>
      <c r="E14" s="12">
        <v>163901.3540973692</v>
      </c>
      <c r="F14" s="12">
        <v>703126.5594194133</v>
      </c>
      <c r="G14" s="12">
        <v>867027.9135167826</v>
      </c>
      <c r="H14" s="13">
        <v>216522.5279709707</v>
      </c>
      <c r="I14" s="13">
        <v>713645.297853039</v>
      </c>
      <c r="J14" s="13">
        <v>930167.8258240097</v>
      </c>
      <c r="K14" s="14"/>
      <c r="L14" s="14"/>
      <c r="M14" s="14"/>
    </row>
    <row r="15">
      <c r="A15" s="10" t="s">
        <v>23</v>
      </c>
      <c r="B15" s="11">
        <v>3.3692474E7</v>
      </c>
      <c r="C15" s="11">
        <v>6.285746E7</v>
      </c>
      <c r="D15" s="11">
        <v>9.6549934E7</v>
      </c>
      <c r="E15" s="12">
        <v>1494394.6991230722</v>
      </c>
      <c r="F15" s="12">
        <v>6410859.8064711215</v>
      </c>
      <c r="G15" s="12">
        <v>7905254.505594194</v>
      </c>
      <c r="H15" s="13">
        <v>1974175.990323556</v>
      </c>
      <c r="I15" s="13">
        <v>6506765.951013002</v>
      </c>
      <c r="J15" s="13">
        <v>8480941.941336557</v>
      </c>
      <c r="K15" s="14"/>
      <c r="L15" s="14"/>
      <c r="M15" s="14"/>
    </row>
    <row r="16">
      <c r="A16" s="10" t="s">
        <v>24</v>
      </c>
      <c r="B16" s="11">
        <v>9.003629381266207E9</v>
      </c>
      <c r="C16" s="11">
        <v>1.6797379547959742E10</v>
      </c>
      <c r="D16" s="11">
        <v>2.580100892922595E10</v>
      </c>
      <c r="E16" s="12">
        <v>3.8858047371336E8</v>
      </c>
      <c r="F16" s="12">
        <v>1.6669859321438398E9</v>
      </c>
      <c r="G16" s="12">
        <v>2.0555664058572E9</v>
      </c>
      <c r="H16" s="13">
        <v>4.1354328981888E8</v>
      </c>
      <c r="I16" s="13">
        <v>1.3630139413367999E9</v>
      </c>
      <c r="J16" s="13">
        <v>1.77655723115568E9</v>
      </c>
      <c r="K16" s="14"/>
      <c r="L16" s="14"/>
      <c r="M16" s="14"/>
    </row>
    <row r="17">
      <c r="A17" s="10" t="s">
        <v>25</v>
      </c>
      <c r="B17" s="11">
        <v>2.38454680746E9</v>
      </c>
      <c r="C17" s="11">
        <v>4.448665763400001E9</v>
      </c>
      <c r="D17" s="11">
        <v>6.833212570860001E9</v>
      </c>
      <c r="E17" s="12">
        <v>1.029127576E8</v>
      </c>
      <c r="F17" s="12">
        <v>4.414892944E8</v>
      </c>
      <c r="G17" s="12">
        <v>5.44402052E8</v>
      </c>
      <c r="H17" s="13">
        <v>1.095239808E8</v>
      </c>
      <c r="I17" s="13">
        <v>3.60984488E8</v>
      </c>
      <c r="J17" s="13">
        <v>4.705084688E8</v>
      </c>
      <c r="K17" s="14"/>
      <c r="L17" s="14"/>
      <c r="M17" s="14"/>
    </row>
    <row r="18">
      <c r="A18" s="10" t="s">
        <v>26</v>
      </c>
      <c r="B18" s="11">
        <v>4.86034044249E8</v>
      </c>
      <c r="C18" s="11">
        <v>9.0675637221E8</v>
      </c>
      <c r="D18" s="11">
        <v>1.392790416459E9</v>
      </c>
      <c r="E18" s="12">
        <v>2.097635644E7</v>
      </c>
      <c r="F18" s="12">
        <v>8.998725736E7</v>
      </c>
      <c r="G18" s="12">
        <v>1.109636138E8</v>
      </c>
      <c r="H18" s="13">
        <v>2.232389952E7</v>
      </c>
      <c r="I18" s="13">
        <v>7.35782372E7</v>
      </c>
      <c r="J18" s="13">
        <v>9.590213672E7</v>
      </c>
      <c r="K18" s="14"/>
      <c r="L18" s="14"/>
      <c r="M18" s="14"/>
    </row>
    <row r="20">
      <c r="A20" s="1" t="s">
        <v>27</v>
      </c>
    </row>
    <row r="21">
      <c r="A21" s="4" t="s">
        <v>1</v>
      </c>
      <c r="B21" s="5" t="s">
        <v>2</v>
      </c>
      <c r="C21" s="5" t="s">
        <v>3</v>
      </c>
      <c r="D21" s="5" t="s">
        <v>4</v>
      </c>
      <c r="E21" s="6" t="s">
        <v>5</v>
      </c>
      <c r="F21" s="6" t="s">
        <v>6</v>
      </c>
      <c r="G21" s="6" t="s">
        <v>7</v>
      </c>
      <c r="H21" s="7" t="s">
        <v>8</v>
      </c>
      <c r="I21" s="7" t="s">
        <v>9</v>
      </c>
      <c r="J21" s="7" t="s">
        <v>10</v>
      </c>
    </row>
    <row r="22">
      <c r="A22" s="10" t="s">
        <v>11</v>
      </c>
      <c r="B22" s="11">
        <v>912622.2187874139</v>
      </c>
      <c r="C22" s="11">
        <v>1702609.1527900596</v>
      </c>
      <c r="D22" s="11">
        <v>2615231.371577474</v>
      </c>
      <c r="E22" s="12">
        <v>39387.13590717333</v>
      </c>
      <c r="F22" s="12">
        <v>168968.3499462933</v>
      </c>
      <c r="G22" s="12">
        <v>208355.48585346667</v>
      </c>
      <c r="H22" s="13">
        <v>41917.40671872</v>
      </c>
      <c r="I22" s="13">
        <v>138157.26466586668</v>
      </c>
      <c r="J22" s="13">
        <v>180074.67138458666</v>
      </c>
    </row>
    <row r="23">
      <c r="A23" s="10" t="s">
        <v>12</v>
      </c>
      <c r="B23" s="11">
        <v>21737.08</v>
      </c>
      <c r="C23" s="11">
        <v>40553.2</v>
      </c>
      <c r="D23" s="11">
        <v>62290.28</v>
      </c>
      <c r="E23" s="12">
        <v>964.1256123374661</v>
      </c>
      <c r="F23" s="12">
        <v>4136.0385848200785</v>
      </c>
      <c r="G23" s="12">
        <v>5100.1641971575455</v>
      </c>
      <c r="H23" s="13">
        <v>1273.661929241004</v>
      </c>
      <c r="I23" s="13">
        <v>4197.913516782583</v>
      </c>
      <c r="J23" s="13">
        <v>5471.575446023588</v>
      </c>
    </row>
    <row r="24">
      <c r="A24" s="10" t="s">
        <v>13</v>
      </c>
      <c r="B24" s="11">
        <v>1.3079749786410892E7</v>
      </c>
      <c r="C24" s="11">
        <v>2.440188420147868E7</v>
      </c>
      <c r="D24" s="11">
        <v>3.748163398788957E7</v>
      </c>
      <c r="E24" s="12">
        <v>572945.0906954312</v>
      </c>
      <c r="F24" s="12">
        <v>2457898.609657603</v>
      </c>
      <c r="G24" s="12">
        <v>3030843.700353034</v>
      </c>
      <c r="H24" s="13">
        <v>690212.9773439626</v>
      </c>
      <c r="I24" s="13">
        <v>2274900.6785321846</v>
      </c>
      <c r="J24" s="13">
        <v>2965113.655876147</v>
      </c>
    </row>
    <row r="25">
      <c r="A25" s="10" t="s">
        <v>14</v>
      </c>
      <c r="B25" s="11">
        <v>1667858.6744698465</v>
      </c>
      <c r="C25" s="11">
        <v>3111595.7799994564</v>
      </c>
      <c r="D25" s="11">
        <v>4779454.454469303</v>
      </c>
      <c r="E25" s="12">
        <v>73560.29604510499</v>
      </c>
      <c r="F25" s="12">
        <v>315569.06990128604</v>
      </c>
      <c r="G25" s="12">
        <v>389129.3659463911</v>
      </c>
      <c r="H25" s="13">
        <v>93322.62706507817</v>
      </c>
      <c r="I25" s="13">
        <v>307585.79540145956</v>
      </c>
      <c r="J25" s="13">
        <v>400908.42246653774</v>
      </c>
    </row>
    <row r="26">
      <c r="A26" s="10" t="s">
        <v>15</v>
      </c>
      <c r="B26" s="11">
        <v>1.031931198905079E8</v>
      </c>
      <c r="C26" s="11">
        <v>1.925194749958939E8</v>
      </c>
      <c r="D26" s="11">
        <v>2.957125948864018E8</v>
      </c>
      <c r="E26" s="12">
        <v>4571829.609964225</v>
      </c>
      <c r="F26" s="12">
        <v>1.9612863124951705E7</v>
      </c>
      <c r="G26" s="12">
        <v>2.418469273491593E7</v>
      </c>
      <c r="H26" s="13">
        <v>5991489.176420265</v>
      </c>
      <c r="I26" s="13">
        <v>1.974758986031679E7</v>
      </c>
      <c r="J26" s="13">
        <v>2.573907903673706E7</v>
      </c>
    </row>
    <row r="27">
      <c r="A27" s="10" t="s">
        <v>16</v>
      </c>
      <c r="B27" s="11">
        <v>354211.8758452808</v>
      </c>
      <c r="C27" s="11">
        <v>660825.881099432</v>
      </c>
      <c r="D27" s="11">
        <v>1015037.7569447128</v>
      </c>
      <c r="E27" s="12">
        <v>15287.148402314666</v>
      </c>
      <c r="F27" s="12">
        <v>65580.91065597866</v>
      </c>
      <c r="G27" s="12">
        <v>80868.05905829332</v>
      </c>
      <c r="H27" s="13">
        <v>16269.210806784</v>
      </c>
      <c r="I27" s="13">
        <v>53622.34544757333</v>
      </c>
      <c r="J27" s="13">
        <v>69891.55625435733</v>
      </c>
    </row>
    <row r="28">
      <c r="A28" s="10" t="s">
        <v>17</v>
      </c>
      <c r="B28" s="11">
        <v>2468987.601818215</v>
      </c>
      <c r="C28" s="11">
        <v>4606200.465474407</v>
      </c>
      <c r="D28" s="11">
        <v>7075188.067292622</v>
      </c>
      <c r="E28" s="12">
        <v>106557.07063011198</v>
      </c>
      <c r="F28" s="12">
        <v>457123.16940012795</v>
      </c>
      <c r="G28" s="12">
        <v>563680.2400302399</v>
      </c>
      <c r="H28" s="13">
        <v>113402.40831129599</v>
      </c>
      <c r="I28" s="13">
        <v>373767.55303455994</v>
      </c>
      <c r="J28" s="13">
        <v>487169.96134585596</v>
      </c>
    </row>
    <row r="29">
      <c r="A29" s="10" t="s">
        <v>18</v>
      </c>
      <c r="B29" s="11">
        <v>6793985.051535338</v>
      </c>
      <c r="C29" s="11">
        <v>1.267501589872802E7</v>
      </c>
      <c r="D29" s="11">
        <v>1.946900095026336E7</v>
      </c>
      <c r="E29" s="12">
        <v>297085.27362110687</v>
      </c>
      <c r="F29" s="12">
        <v>1274477.2454490461</v>
      </c>
      <c r="G29" s="12">
        <v>1571562.519070153</v>
      </c>
      <c r="H29" s="13">
        <v>353026.82235940965</v>
      </c>
      <c r="I29" s="13">
        <v>1163555.285233738</v>
      </c>
      <c r="J29" s="13">
        <v>1516582.1075931475</v>
      </c>
    </row>
    <row r="30">
      <c r="A30" s="10" t="s">
        <v>19</v>
      </c>
      <c r="B30" s="11">
        <v>10868.54</v>
      </c>
      <c r="C30" s="11">
        <v>20276.6</v>
      </c>
      <c r="D30" s="11">
        <v>31145.14</v>
      </c>
      <c r="E30" s="12">
        <v>482.06280616873306</v>
      </c>
      <c r="F30" s="12">
        <v>2068.0192924100393</v>
      </c>
      <c r="G30" s="12">
        <v>2550.0820985787727</v>
      </c>
      <c r="H30" s="13">
        <v>636.830964620502</v>
      </c>
      <c r="I30" s="13">
        <v>2098.9567583912917</v>
      </c>
      <c r="J30" s="13">
        <v>2735.787723011794</v>
      </c>
    </row>
    <row r="31">
      <c r="A31" s="10" t="s">
        <v>20</v>
      </c>
      <c r="B31" s="11">
        <v>54.34270000000001</v>
      </c>
      <c r="C31" s="11">
        <v>101.383</v>
      </c>
      <c r="D31" s="11">
        <v>155.72570000000002</v>
      </c>
      <c r="E31" s="12">
        <v>2.410314030843665</v>
      </c>
      <c r="F31" s="12">
        <v>10.340096462050196</v>
      </c>
      <c r="G31" s="12">
        <v>12.750410492893861</v>
      </c>
      <c r="H31" s="13">
        <v>3.1841548231025096</v>
      </c>
      <c r="I31" s="13">
        <v>10.494783791956456</v>
      </c>
      <c r="J31" s="13">
        <v>13.678938615058966</v>
      </c>
    </row>
    <row r="32">
      <c r="A32" s="10" t="s">
        <v>21</v>
      </c>
      <c r="B32" s="11">
        <v>54342.7</v>
      </c>
      <c r="C32" s="11">
        <v>101383.0</v>
      </c>
      <c r="D32" s="11">
        <v>155725.7</v>
      </c>
      <c r="E32" s="12">
        <v>2410.314030843665</v>
      </c>
      <c r="F32" s="12">
        <v>10340.096462050196</v>
      </c>
      <c r="G32" s="12">
        <v>12750.410492893861</v>
      </c>
      <c r="H32" s="13">
        <v>3184.1548231025095</v>
      </c>
      <c r="I32" s="13">
        <v>10494.783791956457</v>
      </c>
      <c r="J32" s="13">
        <v>13678.938615058965</v>
      </c>
    </row>
    <row r="33">
      <c r="A33" s="10" t="s">
        <v>22</v>
      </c>
      <c r="B33" s="11">
        <v>3695.3036</v>
      </c>
      <c r="C33" s="11">
        <v>6894.044000000002</v>
      </c>
      <c r="D33" s="11">
        <v>10589.347600000001</v>
      </c>
      <c r="E33" s="12">
        <v>163.90135409736922</v>
      </c>
      <c r="F33" s="12">
        <v>703.1265594194133</v>
      </c>
      <c r="G33" s="12">
        <v>867.0279135167825</v>
      </c>
      <c r="H33" s="13">
        <v>216.52252797097069</v>
      </c>
      <c r="I33" s="13">
        <v>713.645297853039</v>
      </c>
      <c r="J33" s="13">
        <v>930.1678258240097</v>
      </c>
    </row>
    <row r="34">
      <c r="A34" s="10" t="s">
        <v>23</v>
      </c>
      <c r="B34" s="11">
        <v>33692.474</v>
      </c>
      <c r="C34" s="11">
        <v>62857.46</v>
      </c>
      <c r="D34" s="11">
        <v>96549.934</v>
      </c>
      <c r="E34" s="12">
        <v>1494.3946991230723</v>
      </c>
      <c r="F34" s="12">
        <v>6410.859806471121</v>
      </c>
      <c r="G34" s="12">
        <v>7905.254505594194</v>
      </c>
      <c r="H34" s="13">
        <v>1974.1759903235559</v>
      </c>
      <c r="I34" s="13">
        <v>6506.7659510130015</v>
      </c>
      <c r="J34" s="13">
        <v>8480.941941336558</v>
      </c>
    </row>
    <row r="35">
      <c r="A35" s="10" t="s">
        <v>24</v>
      </c>
      <c r="B35" s="11">
        <v>9003629.381266207</v>
      </c>
      <c r="C35" s="11">
        <v>1.679737954795974E7</v>
      </c>
      <c r="D35" s="11">
        <v>2.5801008929225948E7</v>
      </c>
      <c r="E35" s="12">
        <v>388580.47371336</v>
      </c>
      <c r="F35" s="12">
        <v>1666985.9321438398</v>
      </c>
      <c r="G35" s="12">
        <v>2055566.4058571998</v>
      </c>
      <c r="H35" s="13">
        <v>413543.28981888003</v>
      </c>
      <c r="I35" s="13">
        <v>1363013.9413367999</v>
      </c>
      <c r="J35" s="13">
        <v>1776557.23115568</v>
      </c>
    </row>
    <row r="36">
      <c r="A36" s="10" t="s">
        <v>25</v>
      </c>
      <c r="B36" s="11">
        <v>2384546.80746</v>
      </c>
      <c r="C36" s="11">
        <v>4448665.7634000005</v>
      </c>
      <c r="D36" s="11">
        <v>6833212.57086</v>
      </c>
      <c r="E36" s="12">
        <v>102912.7576</v>
      </c>
      <c r="F36" s="12">
        <v>441489.29439999996</v>
      </c>
      <c r="G36" s="12">
        <v>544402.052</v>
      </c>
      <c r="H36" s="13">
        <v>109523.98079999999</v>
      </c>
      <c r="I36" s="13">
        <v>360984.488</v>
      </c>
      <c r="J36" s="13">
        <v>470508.46880000003</v>
      </c>
    </row>
    <row r="37">
      <c r="A37" s="10" t="s">
        <v>26</v>
      </c>
      <c r="B37" s="11">
        <v>486034.044249</v>
      </c>
      <c r="C37" s="11">
        <v>906756.3722100001</v>
      </c>
      <c r="D37" s="11">
        <v>1392790.4164590002</v>
      </c>
      <c r="E37" s="12">
        <v>20976.35644</v>
      </c>
      <c r="F37" s="12">
        <v>89987.25736</v>
      </c>
      <c r="G37" s="12">
        <v>110963.61379999999</v>
      </c>
      <c r="H37" s="13">
        <v>22323.89952</v>
      </c>
      <c r="I37" s="13">
        <v>73578.2372</v>
      </c>
      <c r="J37" s="13">
        <v>95902.13672</v>
      </c>
    </row>
    <row r="44">
      <c r="A44" s="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1" max="1" width="20.0"/>
    <col customWidth="1" min="2" max="2" width="14.13"/>
    <col customWidth="1" min="3" max="3" width="27.13"/>
    <col customWidth="1" min="4" max="4" width="19.13"/>
    <col customWidth="1" min="5" max="5" width="18.63"/>
    <col customWidth="1" min="6" max="6" width="28.0"/>
    <col customWidth="1" min="7" max="7" width="19.25"/>
    <col customWidth="1" min="8" max="8" width="13.75"/>
    <col customWidth="1" min="9" max="9" width="27.13"/>
    <col customWidth="1" min="10" max="10" width="13.38"/>
    <col customWidth="1" min="11" max="11" width="14.5"/>
    <col customWidth="1" min="12" max="13" width="14.0"/>
    <col customWidth="1" min="14" max="16" width="13.25"/>
    <col customWidth="1" min="20" max="20" width="18.88"/>
    <col customWidth="1" min="21" max="21" width="18.0"/>
    <col customWidth="1" min="22" max="22" width="18.75"/>
  </cols>
  <sheetData>
    <row r="1">
      <c r="A1" s="1" t="s">
        <v>0</v>
      </c>
      <c r="B1" s="17" t="s">
        <v>28</v>
      </c>
      <c r="E1" s="18" t="s">
        <v>29</v>
      </c>
      <c r="H1" s="19" t="s">
        <v>30</v>
      </c>
      <c r="K1" s="5" t="s">
        <v>2</v>
      </c>
      <c r="L1" s="5" t="s">
        <v>3</v>
      </c>
      <c r="M1" s="5" t="s">
        <v>4</v>
      </c>
      <c r="N1" s="6" t="s">
        <v>5</v>
      </c>
      <c r="O1" s="6" t="s">
        <v>6</v>
      </c>
      <c r="P1" s="6" t="s">
        <v>7</v>
      </c>
      <c r="Q1" s="7" t="s">
        <v>8</v>
      </c>
      <c r="R1" s="7" t="s">
        <v>9</v>
      </c>
      <c r="S1" s="7" t="s">
        <v>10</v>
      </c>
      <c r="T1" s="2"/>
      <c r="U1" s="2"/>
      <c r="V1" s="2"/>
      <c r="W1" s="3"/>
    </row>
    <row r="2">
      <c r="A2" s="4" t="s">
        <v>1</v>
      </c>
      <c r="B2" s="5" t="s">
        <v>31</v>
      </c>
      <c r="C2" s="5" t="s">
        <v>32</v>
      </c>
      <c r="D2" s="5" t="s">
        <v>33</v>
      </c>
      <c r="E2" s="6" t="s">
        <v>31</v>
      </c>
      <c r="F2" s="6" t="s">
        <v>34</v>
      </c>
      <c r="G2" s="6" t="s">
        <v>35</v>
      </c>
      <c r="H2" s="7" t="s">
        <v>31</v>
      </c>
      <c r="I2" s="7" t="s">
        <v>36</v>
      </c>
      <c r="J2" s="7" t="s">
        <v>33</v>
      </c>
      <c r="K2" s="20">
        <f>110801000-2115600</f>
        <v>108685400</v>
      </c>
      <c r="L2" s="20">
        <f t="shared" ref="L2:L18" si="1">M2-K2</f>
        <v>202766000</v>
      </c>
      <c r="M2" s="20">
        <f>313567000-2115600</f>
        <v>311451400</v>
      </c>
      <c r="N2" s="21">
        <v>1759000.0</v>
      </c>
      <c r="O2" s="21">
        <f t="shared" ref="O2:O18" si="2">P2-N2</f>
        <v>7546000</v>
      </c>
      <c r="P2" s="21">
        <v>9305000.0</v>
      </c>
      <c r="Q2" s="22">
        <v>936000.0</v>
      </c>
      <c r="R2" s="22">
        <f t="shared" ref="R2:R18" si="3">S2-Q2</f>
        <v>3085000</v>
      </c>
      <c r="S2" s="22">
        <v>4021000.0</v>
      </c>
      <c r="T2" s="8"/>
      <c r="U2" s="8"/>
      <c r="V2" s="8"/>
      <c r="W2" s="9"/>
    </row>
    <row r="3">
      <c r="A3" s="10" t="s">
        <v>11</v>
      </c>
      <c r="B3" s="23">
        <v>0.0</v>
      </c>
      <c r="C3" s="24">
        <v>8.39691641</v>
      </c>
      <c r="D3" s="25">
        <f t="shared" ref="D3:D18" si="4">B3+C3</f>
        <v>8.39691641</v>
      </c>
      <c r="E3" s="26">
        <v>0.0</v>
      </c>
      <c r="F3" s="26">
        <v>22.39177709333333</v>
      </c>
      <c r="G3" s="26">
        <f t="shared" ref="G3:G18" si="5">E3+F3</f>
        <v>22.39177709</v>
      </c>
      <c r="H3" s="27">
        <v>0.0</v>
      </c>
      <c r="I3" s="28">
        <v>44.78355418666666</v>
      </c>
      <c r="J3" s="27">
        <f t="shared" ref="J3:J18" si="6">H3+I3</f>
        <v>44.78355419</v>
      </c>
      <c r="K3" s="11">
        <f t="shared" ref="K3:K18" si="7">D3*$K$2</f>
        <v>912622218.8</v>
      </c>
      <c r="L3" s="11">
        <f t="shared" si="1"/>
        <v>1702609153</v>
      </c>
      <c r="M3" s="11">
        <f t="shared" ref="M3:M18" si="8">D3*$M$2</f>
        <v>2615231372</v>
      </c>
      <c r="N3" s="12">
        <f t="shared" ref="N3:N18" si="9">G3*$N$2</f>
        <v>39387135.91</v>
      </c>
      <c r="O3" s="12">
        <f t="shared" si="2"/>
        <v>168968349.9</v>
      </c>
      <c r="P3" s="12">
        <f t="shared" ref="P3:P18" si="10">G3*$P$2</f>
        <v>208355485.9</v>
      </c>
      <c r="Q3" s="13">
        <f t="shared" ref="Q3:Q18" si="11">J3*$Q$2</f>
        <v>41917406.72</v>
      </c>
      <c r="R3" s="13">
        <f t="shared" si="3"/>
        <v>138157264.7</v>
      </c>
      <c r="S3" s="13">
        <f t="shared" ref="S3:S18" si="12">J3*$S$2</f>
        <v>180074671.4</v>
      </c>
      <c r="T3" s="14"/>
      <c r="U3" s="14"/>
      <c r="V3" s="14"/>
      <c r="W3" s="15"/>
    </row>
    <row r="4">
      <c r="A4" s="10" t="s">
        <v>12</v>
      </c>
      <c r="B4" s="23">
        <v>0.2</v>
      </c>
      <c r="C4" s="29">
        <v>0.0</v>
      </c>
      <c r="D4" s="25">
        <f t="shared" si="4"/>
        <v>0.2</v>
      </c>
      <c r="E4" s="26">
        <v>0.5481100695494406</v>
      </c>
      <c r="F4" s="30">
        <v>0.0</v>
      </c>
      <c r="G4" s="26">
        <f t="shared" si="5"/>
        <v>0.5481100695</v>
      </c>
      <c r="H4" s="27">
        <v>1.360749924402782</v>
      </c>
      <c r="I4" s="31">
        <v>0.0</v>
      </c>
      <c r="J4" s="27">
        <f t="shared" si="6"/>
        <v>1.360749924</v>
      </c>
      <c r="K4" s="11">
        <f t="shared" si="7"/>
        <v>21737080</v>
      </c>
      <c r="L4" s="11">
        <f t="shared" si="1"/>
        <v>40553200</v>
      </c>
      <c r="M4" s="11">
        <f t="shared" si="8"/>
        <v>62290280</v>
      </c>
      <c r="N4" s="12">
        <f t="shared" si="9"/>
        <v>964125.6123</v>
      </c>
      <c r="O4" s="12">
        <f t="shared" si="2"/>
        <v>4136038.585</v>
      </c>
      <c r="P4" s="12">
        <f t="shared" si="10"/>
        <v>5100164.197</v>
      </c>
      <c r="Q4" s="13">
        <f t="shared" si="11"/>
        <v>1273661.929</v>
      </c>
      <c r="R4" s="13">
        <f t="shared" si="3"/>
        <v>4197913.517</v>
      </c>
      <c r="S4" s="13">
        <f t="shared" si="12"/>
        <v>5471575.446</v>
      </c>
      <c r="T4" s="14"/>
      <c r="U4" s="14"/>
      <c r="V4" s="14"/>
      <c r="W4" s="3"/>
    </row>
    <row r="5">
      <c r="A5" s="10" t="s">
        <v>13</v>
      </c>
      <c r="B5" s="23">
        <v>64.993</v>
      </c>
      <c r="C5" s="24">
        <v>55.35204898</v>
      </c>
      <c r="D5" s="25">
        <f t="shared" si="4"/>
        <v>120.345049</v>
      </c>
      <c r="E5" s="26">
        <v>178.11658875113395</v>
      </c>
      <c r="F5" s="26">
        <v>147.60546394666665</v>
      </c>
      <c r="G5" s="26">
        <f t="shared" si="5"/>
        <v>325.7220527</v>
      </c>
      <c r="H5" s="27">
        <v>442.19609918354996</v>
      </c>
      <c r="I5" s="28">
        <v>295.2109278933333</v>
      </c>
      <c r="J5" s="27">
        <f t="shared" si="6"/>
        <v>737.4070271</v>
      </c>
      <c r="K5" s="11">
        <f t="shared" si="7"/>
        <v>13079749786</v>
      </c>
      <c r="L5" s="11">
        <f t="shared" si="1"/>
        <v>24401884201</v>
      </c>
      <c r="M5" s="11">
        <f t="shared" si="8"/>
        <v>37481633988</v>
      </c>
      <c r="N5" s="12">
        <f t="shared" si="9"/>
        <v>572945090.7</v>
      </c>
      <c r="O5" s="12">
        <f t="shared" si="2"/>
        <v>2457898610</v>
      </c>
      <c r="P5" s="12">
        <f t="shared" si="10"/>
        <v>3030843700</v>
      </c>
      <c r="Q5" s="13">
        <f t="shared" si="11"/>
        <v>690212977.3</v>
      </c>
      <c r="R5" s="13">
        <f t="shared" si="3"/>
        <v>2274900679</v>
      </c>
      <c r="S5" s="13">
        <f t="shared" si="12"/>
        <v>2965113656</v>
      </c>
      <c r="T5" s="14"/>
      <c r="U5" s="14"/>
      <c r="V5" s="14"/>
      <c r="W5" s="3"/>
    </row>
    <row r="6">
      <c r="A6" s="10" t="s">
        <v>14</v>
      </c>
      <c r="B6" s="23">
        <v>12.146</v>
      </c>
      <c r="C6" s="24">
        <v>3.1997472160000004</v>
      </c>
      <c r="D6" s="25">
        <f t="shared" si="4"/>
        <v>15.34574722</v>
      </c>
      <c r="E6" s="26">
        <v>33.286724523737526</v>
      </c>
      <c r="F6" s="26">
        <v>8.532659242666668</v>
      </c>
      <c r="G6" s="26">
        <f t="shared" si="5"/>
        <v>41.81938377</v>
      </c>
      <c r="H6" s="27">
        <v>82.63834290898095</v>
      </c>
      <c r="I6" s="28">
        <v>17.065318485333336</v>
      </c>
      <c r="J6" s="27">
        <f t="shared" si="6"/>
        <v>99.70366139</v>
      </c>
      <c r="K6" s="11">
        <f t="shared" si="7"/>
        <v>1667858674</v>
      </c>
      <c r="L6" s="11">
        <f t="shared" si="1"/>
        <v>3111595780</v>
      </c>
      <c r="M6" s="11">
        <f t="shared" si="8"/>
        <v>4779454454</v>
      </c>
      <c r="N6" s="12">
        <f t="shared" si="9"/>
        <v>73560296.05</v>
      </c>
      <c r="O6" s="12">
        <f t="shared" si="2"/>
        <v>315569069.9</v>
      </c>
      <c r="P6" s="12">
        <f t="shared" si="10"/>
        <v>389129365.9</v>
      </c>
      <c r="Q6" s="13">
        <f t="shared" si="11"/>
        <v>93322627.07</v>
      </c>
      <c r="R6" s="13">
        <f t="shared" si="3"/>
        <v>307585795.4</v>
      </c>
      <c r="S6" s="13">
        <f t="shared" si="12"/>
        <v>400908422.5</v>
      </c>
      <c r="T6" s="14"/>
      <c r="U6" s="14"/>
      <c r="V6" s="14"/>
      <c r="W6" s="14"/>
    </row>
    <row r="7">
      <c r="A7" s="10" t="s">
        <v>15</v>
      </c>
      <c r="B7" s="23">
        <v>909.5</v>
      </c>
      <c r="C7" s="24">
        <v>39.96625665</v>
      </c>
      <c r="D7" s="25">
        <f t="shared" si="4"/>
        <v>949.4662567</v>
      </c>
      <c r="E7" s="26">
        <v>2492.530541276081</v>
      </c>
      <c r="F7" s="26">
        <v>106.57668439999999</v>
      </c>
      <c r="G7" s="26">
        <f t="shared" si="5"/>
        <v>2599.107226</v>
      </c>
      <c r="H7" s="27">
        <v>6188.010281221651</v>
      </c>
      <c r="I7" s="28">
        <v>213.15336879999998</v>
      </c>
      <c r="J7" s="27">
        <f t="shared" si="6"/>
        <v>6401.16365</v>
      </c>
      <c r="K7" s="11">
        <f t="shared" si="7"/>
        <v>103193119891</v>
      </c>
      <c r="L7" s="11">
        <f t="shared" si="1"/>
        <v>192519474996</v>
      </c>
      <c r="M7" s="11">
        <f t="shared" si="8"/>
        <v>295712594886</v>
      </c>
      <c r="N7" s="12">
        <f t="shared" si="9"/>
        <v>4571829610</v>
      </c>
      <c r="O7" s="12">
        <f t="shared" si="2"/>
        <v>19612863125</v>
      </c>
      <c r="P7" s="12">
        <f t="shared" si="10"/>
        <v>24184692735</v>
      </c>
      <c r="Q7" s="13">
        <f t="shared" si="11"/>
        <v>5991489176</v>
      </c>
      <c r="R7" s="13">
        <f t="shared" si="3"/>
        <v>19747589860</v>
      </c>
      <c r="S7" s="13">
        <f t="shared" si="12"/>
        <v>25739079037</v>
      </c>
      <c r="T7" s="14"/>
      <c r="U7" s="14"/>
      <c r="V7" s="14"/>
      <c r="W7" s="16"/>
    </row>
    <row r="8">
      <c r="A8" s="10" t="s">
        <v>16</v>
      </c>
      <c r="B8" s="23">
        <v>0.0</v>
      </c>
      <c r="C8" s="24">
        <v>3.2590566520000004</v>
      </c>
      <c r="D8" s="25">
        <f t="shared" si="4"/>
        <v>3.259056652</v>
      </c>
      <c r="E8" s="26">
        <v>0.0</v>
      </c>
      <c r="F8" s="26">
        <v>8.690817738666667</v>
      </c>
      <c r="G8" s="26">
        <f t="shared" si="5"/>
        <v>8.690817739</v>
      </c>
      <c r="H8" s="27">
        <v>0.0</v>
      </c>
      <c r="I8" s="28">
        <v>17.381635477333333</v>
      </c>
      <c r="J8" s="27">
        <f t="shared" si="6"/>
        <v>17.38163548</v>
      </c>
      <c r="K8" s="11">
        <f t="shared" si="7"/>
        <v>354211875.8</v>
      </c>
      <c r="L8" s="11">
        <f t="shared" si="1"/>
        <v>660825881.1</v>
      </c>
      <c r="M8" s="11">
        <f t="shared" si="8"/>
        <v>1015037757</v>
      </c>
      <c r="N8" s="12">
        <f t="shared" si="9"/>
        <v>15287148.4</v>
      </c>
      <c r="O8" s="12">
        <f t="shared" si="2"/>
        <v>65580910.66</v>
      </c>
      <c r="P8" s="12">
        <f t="shared" si="10"/>
        <v>80868059.06</v>
      </c>
      <c r="Q8" s="13">
        <f t="shared" si="11"/>
        <v>16269210.81</v>
      </c>
      <c r="R8" s="13">
        <f t="shared" si="3"/>
        <v>53622345.45</v>
      </c>
      <c r="S8" s="13">
        <f t="shared" si="12"/>
        <v>69891556.25</v>
      </c>
      <c r="T8" s="14"/>
      <c r="U8" s="14"/>
      <c r="V8" s="14"/>
    </row>
    <row r="9">
      <c r="A9" s="10" t="s">
        <v>17</v>
      </c>
      <c r="B9" s="23">
        <v>0.0</v>
      </c>
      <c r="C9" s="24">
        <v>22.716828588</v>
      </c>
      <c r="D9" s="25">
        <f t="shared" si="4"/>
        <v>22.71682859</v>
      </c>
      <c r="E9" s="26">
        <v>0.0</v>
      </c>
      <c r="F9" s="26">
        <v>60.57820956799999</v>
      </c>
      <c r="G9" s="26">
        <f t="shared" si="5"/>
        <v>60.57820957</v>
      </c>
      <c r="H9" s="27">
        <v>0.0</v>
      </c>
      <c r="I9" s="28">
        <v>121.15641913599998</v>
      </c>
      <c r="J9" s="27">
        <f t="shared" si="6"/>
        <v>121.1564191</v>
      </c>
      <c r="K9" s="11">
        <f t="shared" si="7"/>
        <v>2468987602</v>
      </c>
      <c r="L9" s="11">
        <f t="shared" si="1"/>
        <v>4606200465</v>
      </c>
      <c r="M9" s="11">
        <f t="shared" si="8"/>
        <v>7075188067</v>
      </c>
      <c r="N9" s="12">
        <f t="shared" si="9"/>
        <v>106557070.6</v>
      </c>
      <c r="O9" s="12">
        <f t="shared" si="2"/>
        <v>457123169.4</v>
      </c>
      <c r="P9" s="12">
        <f t="shared" si="10"/>
        <v>563680240</v>
      </c>
      <c r="Q9" s="13">
        <f t="shared" si="11"/>
        <v>113402408.3</v>
      </c>
      <c r="R9" s="13">
        <f t="shared" si="3"/>
        <v>373767553</v>
      </c>
      <c r="S9" s="13">
        <f t="shared" si="12"/>
        <v>487169961.3</v>
      </c>
      <c r="T9" s="14"/>
      <c r="U9" s="14"/>
      <c r="V9" s="14"/>
    </row>
    <row r="10">
      <c r="A10" s="10" t="s">
        <v>18</v>
      </c>
      <c r="B10" s="23">
        <v>29.771</v>
      </c>
      <c r="C10" s="24">
        <v>32.739558470000006</v>
      </c>
      <c r="D10" s="25">
        <f t="shared" si="4"/>
        <v>62.51055847</v>
      </c>
      <c r="E10" s="26">
        <v>81.58892440278198</v>
      </c>
      <c r="F10" s="26">
        <v>87.30548925333335</v>
      </c>
      <c r="G10" s="26">
        <f t="shared" si="5"/>
        <v>168.8944137</v>
      </c>
      <c r="H10" s="27">
        <v>202.5544299969761</v>
      </c>
      <c r="I10" s="28">
        <v>174.6109785066667</v>
      </c>
      <c r="J10" s="27">
        <f t="shared" si="6"/>
        <v>377.1654085</v>
      </c>
      <c r="K10" s="11">
        <f t="shared" si="7"/>
        <v>6793985052</v>
      </c>
      <c r="L10" s="11">
        <f t="shared" si="1"/>
        <v>12675015899</v>
      </c>
      <c r="M10" s="11">
        <f t="shared" si="8"/>
        <v>19469000950</v>
      </c>
      <c r="N10" s="12">
        <f t="shared" si="9"/>
        <v>297085273.6</v>
      </c>
      <c r="O10" s="12">
        <f t="shared" si="2"/>
        <v>1274477245</v>
      </c>
      <c r="P10" s="12">
        <f t="shared" si="10"/>
        <v>1571562519</v>
      </c>
      <c r="Q10" s="13">
        <f t="shared" si="11"/>
        <v>353026822.4</v>
      </c>
      <c r="R10" s="13">
        <f t="shared" si="3"/>
        <v>1163555285</v>
      </c>
      <c r="S10" s="13">
        <f t="shared" si="12"/>
        <v>1516582108</v>
      </c>
      <c r="T10" s="14"/>
      <c r="U10" s="14"/>
      <c r="V10" s="14"/>
    </row>
    <row r="11">
      <c r="A11" s="10" t="s">
        <v>19</v>
      </c>
      <c r="B11" s="23">
        <v>0.1</v>
      </c>
      <c r="C11" s="29">
        <v>0.0</v>
      </c>
      <c r="D11" s="25">
        <f t="shared" si="4"/>
        <v>0.1</v>
      </c>
      <c r="E11" s="26">
        <v>0.2740550347747203</v>
      </c>
      <c r="F11" s="30">
        <v>0.0</v>
      </c>
      <c r="G11" s="26">
        <f t="shared" si="5"/>
        <v>0.2740550348</v>
      </c>
      <c r="H11" s="27">
        <v>0.680374962201391</v>
      </c>
      <c r="I11" s="31">
        <v>0.0</v>
      </c>
      <c r="J11" s="27">
        <f t="shared" si="6"/>
        <v>0.6803749622</v>
      </c>
      <c r="K11" s="11">
        <f t="shared" si="7"/>
        <v>10868540</v>
      </c>
      <c r="L11" s="11">
        <f t="shared" si="1"/>
        <v>20276600</v>
      </c>
      <c r="M11" s="11">
        <f t="shared" si="8"/>
        <v>31145140</v>
      </c>
      <c r="N11" s="12">
        <f t="shared" si="9"/>
        <v>482062.8062</v>
      </c>
      <c r="O11" s="12">
        <f t="shared" si="2"/>
        <v>2068019.292</v>
      </c>
      <c r="P11" s="12">
        <f t="shared" si="10"/>
        <v>2550082.099</v>
      </c>
      <c r="Q11" s="13">
        <f t="shared" si="11"/>
        <v>636830.9646</v>
      </c>
      <c r="R11" s="13">
        <f t="shared" si="3"/>
        <v>2098956.758</v>
      </c>
      <c r="S11" s="13">
        <f t="shared" si="12"/>
        <v>2735787.723</v>
      </c>
      <c r="T11" s="14"/>
      <c r="U11" s="14"/>
      <c r="V11" s="14"/>
    </row>
    <row r="12">
      <c r="A12" s="10" t="s">
        <v>20</v>
      </c>
      <c r="B12" s="23">
        <v>5.0E-4</v>
      </c>
      <c r="C12" s="29">
        <v>0.0</v>
      </c>
      <c r="D12" s="25">
        <f t="shared" si="4"/>
        <v>0.0005</v>
      </c>
      <c r="E12" s="26">
        <v>0.0013702751738736015</v>
      </c>
      <c r="F12" s="30">
        <v>0.0</v>
      </c>
      <c r="G12" s="26">
        <f t="shared" si="5"/>
        <v>0.001370275174</v>
      </c>
      <c r="H12" s="27">
        <v>0.0034018748110069548</v>
      </c>
      <c r="I12" s="31">
        <v>0.0</v>
      </c>
      <c r="J12" s="27">
        <f t="shared" si="6"/>
        <v>0.003401874811</v>
      </c>
      <c r="K12" s="11">
        <f t="shared" si="7"/>
        <v>54342.7</v>
      </c>
      <c r="L12" s="11">
        <f t="shared" si="1"/>
        <v>101383</v>
      </c>
      <c r="M12" s="11">
        <f t="shared" si="8"/>
        <v>155725.7</v>
      </c>
      <c r="N12" s="12">
        <f t="shared" si="9"/>
        <v>2410.314031</v>
      </c>
      <c r="O12" s="12">
        <f t="shared" si="2"/>
        <v>10340.09646</v>
      </c>
      <c r="P12" s="12">
        <f t="shared" si="10"/>
        <v>12750.41049</v>
      </c>
      <c r="Q12" s="13">
        <f t="shared" si="11"/>
        <v>3184.154823</v>
      </c>
      <c r="R12" s="13">
        <f t="shared" si="3"/>
        <v>10494.78379</v>
      </c>
      <c r="S12" s="13">
        <f t="shared" si="12"/>
        <v>13678.93862</v>
      </c>
      <c r="T12" s="14"/>
      <c r="U12" s="14"/>
      <c r="V12" s="14"/>
    </row>
    <row r="13">
      <c r="A13" s="10" t="s">
        <v>21</v>
      </c>
      <c r="B13" s="23">
        <v>0.5</v>
      </c>
      <c r="C13" s="29">
        <v>0.0</v>
      </c>
      <c r="D13" s="25">
        <f t="shared" si="4"/>
        <v>0.5</v>
      </c>
      <c r="E13" s="26">
        <v>1.3702751738736014</v>
      </c>
      <c r="F13" s="30">
        <v>0.0</v>
      </c>
      <c r="G13" s="26">
        <f t="shared" si="5"/>
        <v>1.370275174</v>
      </c>
      <c r="H13" s="27">
        <v>3.4018748110069548</v>
      </c>
      <c r="I13" s="31">
        <v>0.0</v>
      </c>
      <c r="J13" s="27">
        <f t="shared" si="6"/>
        <v>3.401874811</v>
      </c>
      <c r="K13" s="11">
        <f t="shared" si="7"/>
        <v>54342700</v>
      </c>
      <c r="L13" s="11">
        <f t="shared" si="1"/>
        <v>101383000</v>
      </c>
      <c r="M13" s="11">
        <f t="shared" si="8"/>
        <v>155725700</v>
      </c>
      <c r="N13" s="12">
        <f t="shared" si="9"/>
        <v>2410314.031</v>
      </c>
      <c r="O13" s="12">
        <f t="shared" si="2"/>
        <v>10340096.46</v>
      </c>
      <c r="P13" s="12">
        <f t="shared" si="10"/>
        <v>12750410.49</v>
      </c>
      <c r="Q13" s="13">
        <f t="shared" si="11"/>
        <v>3184154.823</v>
      </c>
      <c r="R13" s="13">
        <f t="shared" si="3"/>
        <v>10494783.79</v>
      </c>
      <c r="S13" s="13">
        <f t="shared" si="12"/>
        <v>13678938.62</v>
      </c>
      <c r="T13" s="14"/>
      <c r="U13" s="14"/>
      <c r="V13" s="14"/>
    </row>
    <row r="14">
      <c r="A14" s="10" t="s">
        <v>22</v>
      </c>
      <c r="B14" s="23">
        <v>0.034</v>
      </c>
      <c r="C14" s="29">
        <v>0.0</v>
      </c>
      <c r="D14" s="25">
        <f t="shared" si="4"/>
        <v>0.034</v>
      </c>
      <c r="E14" s="26">
        <v>0.0931787118234049</v>
      </c>
      <c r="F14" s="30">
        <v>0.0</v>
      </c>
      <c r="G14" s="26">
        <f t="shared" si="5"/>
        <v>0.09317871182</v>
      </c>
      <c r="H14" s="27">
        <v>0.23132748714847295</v>
      </c>
      <c r="I14" s="31">
        <v>0.0</v>
      </c>
      <c r="J14" s="27">
        <f t="shared" si="6"/>
        <v>0.2313274871</v>
      </c>
      <c r="K14" s="11">
        <f t="shared" si="7"/>
        <v>3695303.6</v>
      </c>
      <c r="L14" s="11">
        <f t="shared" si="1"/>
        <v>6894044</v>
      </c>
      <c r="M14" s="11">
        <f t="shared" si="8"/>
        <v>10589347.6</v>
      </c>
      <c r="N14" s="12">
        <f t="shared" si="9"/>
        <v>163901.3541</v>
      </c>
      <c r="O14" s="12">
        <f t="shared" si="2"/>
        <v>703126.5594</v>
      </c>
      <c r="P14" s="12">
        <f t="shared" si="10"/>
        <v>867027.9135</v>
      </c>
      <c r="Q14" s="13">
        <f t="shared" si="11"/>
        <v>216522.528</v>
      </c>
      <c r="R14" s="13">
        <f t="shared" si="3"/>
        <v>713645.2979</v>
      </c>
      <c r="S14" s="13">
        <f t="shared" si="12"/>
        <v>930167.8258</v>
      </c>
      <c r="T14" s="14"/>
      <c r="U14" s="14"/>
      <c r="V14" s="14"/>
    </row>
    <row r="15">
      <c r="A15" s="10" t="s">
        <v>23</v>
      </c>
      <c r="B15" s="23">
        <v>0.31</v>
      </c>
      <c r="C15" s="29">
        <v>0.0</v>
      </c>
      <c r="D15" s="25">
        <f t="shared" si="4"/>
        <v>0.31</v>
      </c>
      <c r="E15" s="26">
        <v>0.8495706078016328</v>
      </c>
      <c r="F15" s="30">
        <v>0.0</v>
      </c>
      <c r="G15" s="26">
        <f t="shared" si="5"/>
        <v>0.8495706078</v>
      </c>
      <c r="H15" s="27">
        <v>2.109162382824312</v>
      </c>
      <c r="I15" s="31">
        <v>0.0</v>
      </c>
      <c r="J15" s="27">
        <f t="shared" si="6"/>
        <v>2.109162383</v>
      </c>
      <c r="K15" s="11">
        <f t="shared" si="7"/>
        <v>33692474</v>
      </c>
      <c r="L15" s="11">
        <f t="shared" si="1"/>
        <v>62857460</v>
      </c>
      <c r="M15" s="11">
        <f t="shared" si="8"/>
        <v>96549934</v>
      </c>
      <c r="N15" s="12">
        <f t="shared" si="9"/>
        <v>1494394.699</v>
      </c>
      <c r="O15" s="12">
        <f t="shared" si="2"/>
        <v>6410859.806</v>
      </c>
      <c r="P15" s="12">
        <f t="shared" si="10"/>
        <v>7905254.506</v>
      </c>
      <c r="Q15" s="13">
        <f t="shared" si="11"/>
        <v>1974175.99</v>
      </c>
      <c r="R15" s="13">
        <f t="shared" si="3"/>
        <v>6506765.951</v>
      </c>
      <c r="S15" s="13">
        <f t="shared" si="12"/>
        <v>8480941.941</v>
      </c>
      <c r="T15" s="14"/>
      <c r="U15" s="14"/>
      <c r="V15" s="14"/>
    </row>
    <row r="16">
      <c r="A16" s="10" t="s">
        <v>24</v>
      </c>
      <c r="B16" s="29">
        <v>0.0</v>
      </c>
      <c r="C16" s="24">
        <v>82.84120389</v>
      </c>
      <c r="D16" s="25">
        <f t="shared" si="4"/>
        <v>82.84120389</v>
      </c>
      <c r="E16" s="26">
        <v>0.0</v>
      </c>
      <c r="F16" s="26">
        <v>220.90987704</v>
      </c>
      <c r="G16" s="26">
        <f t="shared" si="5"/>
        <v>220.909877</v>
      </c>
      <c r="H16" s="27">
        <v>0.0</v>
      </c>
      <c r="I16" s="28">
        <v>441.81975408</v>
      </c>
      <c r="J16" s="27">
        <f t="shared" si="6"/>
        <v>441.8197541</v>
      </c>
      <c r="K16" s="11">
        <f t="shared" si="7"/>
        <v>9003629381</v>
      </c>
      <c r="L16" s="11">
        <f t="shared" si="1"/>
        <v>16797379548</v>
      </c>
      <c r="M16" s="11">
        <f t="shared" si="8"/>
        <v>25801008929</v>
      </c>
      <c r="N16" s="12">
        <f t="shared" si="9"/>
        <v>388580473.7</v>
      </c>
      <c r="O16" s="12">
        <f t="shared" si="2"/>
        <v>1666985932</v>
      </c>
      <c r="P16" s="12">
        <f t="shared" si="10"/>
        <v>2055566406</v>
      </c>
      <c r="Q16" s="13">
        <f t="shared" si="11"/>
        <v>413543289.8</v>
      </c>
      <c r="R16" s="13">
        <f t="shared" si="3"/>
        <v>1363013941</v>
      </c>
      <c r="S16" s="13">
        <f t="shared" si="12"/>
        <v>1776557231</v>
      </c>
      <c r="T16" s="14"/>
      <c r="U16" s="14"/>
      <c r="V16" s="14"/>
    </row>
    <row r="17">
      <c r="A17" s="10" t="s">
        <v>25</v>
      </c>
      <c r="B17" s="29">
        <v>0.0</v>
      </c>
      <c r="C17" s="24">
        <v>21.9399</v>
      </c>
      <c r="D17" s="25">
        <f t="shared" si="4"/>
        <v>21.9399</v>
      </c>
      <c r="E17" s="26">
        <v>0.0</v>
      </c>
      <c r="F17" s="26">
        <v>58.5064</v>
      </c>
      <c r="G17" s="26">
        <f t="shared" si="5"/>
        <v>58.5064</v>
      </c>
      <c r="H17" s="27">
        <v>0.0</v>
      </c>
      <c r="I17" s="28">
        <v>117.0128</v>
      </c>
      <c r="J17" s="27">
        <f t="shared" si="6"/>
        <v>117.0128</v>
      </c>
      <c r="K17" s="11">
        <f t="shared" si="7"/>
        <v>2384546807</v>
      </c>
      <c r="L17" s="11">
        <f t="shared" si="1"/>
        <v>4448665763</v>
      </c>
      <c r="M17" s="11">
        <f t="shared" si="8"/>
        <v>6833212571</v>
      </c>
      <c r="N17" s="12">
        <f t="shared" si="9"/>
        <v>102912757.6</v>
      </c>
      <c r="O17" s="12">
        <f t="shared" si="2"/>
        <v>441489294.4</v>
      </c>
      <c r="P17" s="12">
        <f t="shared" si="10"/>
        <v>544402052</v>
      </c>
      <c r="Q17" s="13">
        <f t="shared" si="11"/>
        <v>109523980.8</v>
      </c>
      <c r="R17" s="13">
        <f t="shared" si="3"/>
        <v>360984488</v>
      </c>
      <c r="S17" s="13">
        <f t="shared" si="12"/>
        <v>470508468.8</v>
      </c>
      <c r="T17" s="14"/>
      <c r="U17" s="14"/>
      <c r="V17" s="14"/>
    </row>
    <row r="18">
      <c r="A18" s="10" t="s">
        <v>26</v>
      </c>
      <c r="B18" s="29">
        <v>0.0</v>
      </c>
      <c r="C18" s="24">
        <v>4.471935</v>
      </c>
      <c r="D18" s="25">
        <f t="shared" si="4"/>
        <v>4.471935</v>
      </c>
      <c r="E18" s="30">
        <v>0.0</v>
      </c>
      <c r="F18" s="26">
        <v>11.92516</v>
      </c>
      <c r="G18" s="26">
        <f t="shared" si="5"/>
        <v>11.92516</v>
      </c>
      <c r="H18" s="31">
        <v>0.0</v>
      </c>
      <c r="I18" s="28">
        <v>23.85032</v>
      </c>
      <c r="J18" s="28">
        <f t="shared" si="6"/>
        <v>23.85032</v>
      </c>
      <c r="K18" s="11">
        <f t="shared" si="7"/>
        <v>486034044.2</v>
      </c>
      <c r="L18" s="11">
        <f t="shared" si="1"/>
        <v>906756372.2</v>
      </c>
      <c r="M18" s="11">
        <f t="shared" si="8"/>
        <v>1392790416</v>
      </c>
      <c r="N18" s="12">
        <f t="shared" si="9"/>
        <v>20976356.44</v>
      </c>
      <c r="O18" s="12">
        <f t="shared" si="2"/>
        <v>89987257.36</v>
      </c>
      <c r="P18" s="12">
        <f t="shared" si="10"/>
        <v>110963613.8</v>
      </c>
      <c r="Q18" s="13">
        <f t="shared" si="11"/>
        <v>22323899.52</v>
      </c>
      <c r="R18" s="13">
        <f t="shared" si="3"/>
        <v>73578237.2</v>
      </c>
      <c r="S18" s="13">
        <f t="shared" si="12"/>
        <v>95902136.72</v>
      </c>
      <c r="T18" s="14"/>
      <c r="U18" s="14"/>
      <c r="V18" s="14"/>
    </row>
    <row r="19">
      <c r="A19" s="10" t="s">
        <v>37</v>
      </c>
      <c r="D19" s="32">
        <f>SUM(D3:D18)</f>
        <v>1292.437952</v>
      </c>
      <c r="G19" s="33">
        <f>SUM(G3:G18)</f>
        <v>3521.681877</v>
      </c>
      <c r="J19" s="32">
        <f>SUM(J3:J18)</f>
        <v>8389.231121</v>
      </c>
    </row>
    <row r="20">
      <c r="A20" s="10" t="s">
        <v>38</v>
      </c>
      <c r="D20" s="34">
        <f>D19*2.20462</f>
        <v>2849.334557</v>
      </c>
      <c r="G20" s="34">
        <f>G19*2.20462</f>
        <v>7763.9703</v>
      </c>
      <c r="J20" s="34">
        <f>J19*2.20462</f>
        <v>18495.06671</v>
      </c>
    </row>
    <row r="21">
      <c r="A21" s="10" t="s">
        <v>39</v>
      </c>
      <c r="D21" s="34">
        <f>D20/B46</f>
        <v>0.861607063</v>
      </c>
      <c r="G21" s="34">
        <f>G20/B47</f>
        <v>0.8566666998</v>
      </c>
      <c r="J21" s="34">
        <f>J20/B48</f>
        <v>0.8220029651</v>
      </c>
    </row>
    <row r="22">
      <c r="A22" s="35"/>
      <c r="B22" s="36" t="s">
        <v>40</v>
      </c>
      <c r="C22" s="36"/>
      <c r="D22" s="36"/>
      <c r="E22" s="36"/>
      <c r="F22" s="36"/>
      <c r="G22" s="36"/>
      <c r="H22" s="36"/>
    </row>
    <row r="23">
      <c r="B23" s="37" t="s">
        <v>41</v>
      </c>
      <c r="D23" s="10" t="s">
        <v>42</v>
      </c>
    </row>
    <row r="24">
      <c r="D24" s="10" t="s">
        <v>43</v>
      </c>
    </row>
    <row r="25">
      <c r="D25" s="10" t="s">
        <v>44</v>
      </c>
    </row>
    <row r="27">
      <c r="A27" s="10"/>
      <c r="B27" s="10"/>
      <c r="C27" s="10"/>
      <c r="D27" s="10"/>
      <c r="E27" s="10"/>
    </row>
    <row r="28">
      <c r="A28" s="4" t="s">
        <v>1</v>
      </c>
      <c r="B28" s="4" t="s">
        <v>45</v>
      </c>
      <c r="C28" s="4" t="s">
        <v>46</v>
      </c>
      <c r="D28" s="4" t="s">
        <v>47</v>
      </c>
      <c r="E28" s="5" t="s">
        <v>48</v>
      </c>
      <c r="F28" s="6" t="s">
        <v>49</v>
      </c>
      <c r="G28" s="7" t="s">
        <v>50</v>
      </c>
    </row>
    <row r="29">
      <c r="A29" s="10" t="s">
        <v>11</v>
      </c>
      <c r="B29" s="10">
        <v>7500.0</v>
      </c>
      <c r="C29" s="10">
        <v>7500.0</v>
      </c>
      <c r="D29" s="34">
        <f t="shared" ref="D29:D41" si="13">B29-C29</f>
        <v>0</v>
      </c>
      <c r="E29" s="23">
        <f t="shared" ref="E29:E41" si="14">D29/1000</f>
        <v>0</v>
      </c>
      <c r="F29" s="26">
        <f t="shared" ref="F29:F43" si="15">E29*$B$50</f>
        <v>0</v>
      </c>
      <c r="G29" s="27">
        <f t="shared" ref="G29:G43" si="16">E29*$B$51</f>
        <v>0</v>
      </c>
    </row>
    <row r="30">
      <c r="A30" s="10" t="s">
        <v>12</v>
      </c>
      <c r="B30" s="10">
        <v>200.0</v>
      </c>
      <c r="D30" s="34">
        <f t="shared" si="13"/>
        <v>200</v>
      </c>
      <c r="E30" s="23">
        <f t="shared" si="14"/>
        <v>0.2</v>
      </c>
      <c r="F30" s="26">
        <f t="shared" si="15"/>
        <v>0.5481100695</v>
      </c>
      <c r="G30" s="27">
        <f t="shared" si="16"/>
        <v>1.360749924</v>
      </c>
    </row>
    <row r="31">
      <c r="A31" s="10" t="s">
        <v>13</v>
      </c>
      <c r="B31" s="10">
        <v>78600.0</v>
      </c>
      <c r="C31" s="10">
        <v>13607.0</v>
      </c>
      <c r="D31" s="34">
        <f t="shared" si="13"/>
        <v>64993</v>
      </c>
      <c r="E31" s="23">
        <f t="shared" si="14"/>
        <v>64.993</v>
      </c>
      <c r="F31" s="26">
        <f t="shared" si="15"/>
        <v>178.1165888</v>
      </c>
      <c r="G31" s="27">
        <f t="shared" si="16"/>
        <v>442.1960992</v>
      </c>
    </row>
    <row r="32">
      <c r="A32" s="10" t="s">
        <v>14</v>
      </c>
      <c r="B32" s="10">
        <v>31200.0</v>
      </c>
      <c r="C32" s="10">
        <v>19054.0</v>
      </c>
      <c r="D32" s="34">
        <f t="shared" si="13"/>
        <v>12146</v>
      </c>
      <c r="E32" s="23">
        <f t="shared" si="14"/>
        <v>12.146</v>
      </c>
      <c r="F32" s="26">
        <f t="shared" si="15"/>
        <v>33.28672452</v>
      </c>
      <c r="G32" s="27">
        <f t="shared" si="16"/>
        <v>82.63834291</v>
      </c>
    </row>
    <row r="33">
      <c r="A33" s="10" t="s">
        <v>15</v>
      </c>
      <c r="B33" s="10">
        <v>909500.0</v>
      </c>
      <c r="D33" s="34">
        <f t="shared" si="13"/>
        <v>909500</v>
      </c>
      <c r="E33" s="23">
        <f t="shared" si="14"/>
        <v>909.5</v>
      </c>
      <c r="F33" s="26">
        <f t="shared" si="15"/>
        <v>2492.530541</v>
      </c>
      <c r="G33" s="27">
        <f t="shared" si="16"/>
        <v>6188.010281</v>
      </c>
    </row>
    <row r="34">
      <c r="A34" s="10" t="s">
        <v>16</v>
      </c>
      <c r="B34" s="10">
        <v>20400.0</v>
      </c>
      <c r="C34" s="10">
        <v>20400.0</v>
      </c>
      <c r="D34" s="34">
        <f t="shared" si="13"/>
        <v>0</v>
      </c>
      <c r="E34" s="23">
        <f t="shared" si="14"/>
        <v>0</v>
      </c>
      <c r="F34" s="26">
        <f t="shared" si="15"/>
        <v>0</v>
      </c>
      <c r="G34" s="27">
        <f t="shared" si="16"/>
        <v>0</v>
      </c>
    </row>
    <row r="35">
      <c r="A35" s="10" t="s">
        <v>17</v>
      </c>
      <c r="B35" s="10">
        <v>20400.0</v>
      </c>
      <c r="C35" s="10">
        <v>20400.0</v>
      </c>
      <c r="D35" s="34">
        <f t="shared" si="13"/>
        <v>0</v>
      </c>
      <c r="E35" s="23">
        <f t="shared" si="14"/>
        <v>0</v>
      </c>
      <c r="F35" s="26">
        <f t="shared" si="15"/>
        <v>0</v>
      </c>
      <c r="G35" s="27">
        <f t="shared" si="16"/>
        <v>0</v>
      </c>
    </row>
    <row r="36">
      <c r="A36" s="10" t="s">
        <v>18</v>
      </c>
      <c r="B36" s="10">
        <v>92500.0</v>
      </c>
      <c r="C36" s="10">
        <v>62729.0</v>
      </c>
      <c r="D36" s="34">
        <f t="shared" si="13"/>
        <v>29771</v>
      </c>
      <c r="E36" s="23">
        <f t="shared" si="14"/>
        <v>29.771</v>
      </c>
      <c r="F36" s="26">
        <f t="shared" si="15"/>
        <v>81.5889244</v>
      </c>
      <c r="G36" s="27">
        <f t="shared" si="16"/>
        <v>202.55443</v>
      </c>
    </row>
    <row r="37">
      <c r="A37" s="10" t="s">
        <v>19</v>
      </c>
      <c r="B37" s="10">
        <v>100.0</v>
      </c>
      <c r="D37" s="34">
        <f t="shared" si="13"/>
        <v>100</v>
      </c>
      <c r="E37" s="23">
        <f t="shared" si="14"/>
        <v>0.1</v>
      </c>
      <c r="F37" s="26">
        <f t="shared" si="15"/>
        <v>0.2740550348</v>
      </c>
      <c r="G37" s="27">
        <f t="shared" si="16"/>
        <v>0.6803749622</v>
      </c>
    </row>
    <row r="38">
      <c r="A38" s="10" t="s">
        <v>20</v>
      </c>
      <c r="B38" s="10">
        <v>0.5</v>
      </c>
      <c r="D38" s="34">
        <f t="shared" si="13"/>
        <v>0.5</v>
      </c>
      <c r="E38" s="23">
        <f t="shared" si="14"/>
        <v>0.0005</v>
      </c>
      <c r="F38" s="26">
        <f t="shared" si="15"/>
        <v>0.001370275174</v>
      </c>
      <c r="G38" s="27">
        <f t="shared" si="16"/>
        <v>0.003401874811</v>
      </c>
    </row>
    <row r="39">
      <c r="A39" s="10" t="s">
        <v>21</v>
      </c>
      <c r="B39" s="10">
        <v>500.0</v>
      </c>
      <c r="D39" s="34">
        <f t="shared" si="13"/>
        <v>500</v>
      </c>
      <c r="E39" s="23">
        <f t="shared" si="14"/>
        <v>0.5</v>
      </c>
      <c r="F39" s="26">
        <f t="shared" si="15"/>
        <v>1.370275174</v>
      </c>
      <c r="G39" s="27">
        <f t="shared" si="16"/>
        <v>3.401874811</v>
      </c>
    </row>
    <row r="40">
      <c r="A40" s="10" t="s">
        <v>22</v>
      </c>
      <c r="B40" s="10">
        <v>34.0</v>
      </c>
      <c r="D40" s="34">
        <f t="shared" si="13"/>
        <v>34</v>
      </c>
      <c r="E40" s="23">
        <f t="shared" si="14"/>
        <v>0.034</v>
      </c>
      <c r="F40" s="26">
        <f t="shared" si="15"/>
        <v>0.09317871182</v>
      </c>
      <c r="G40" s="27">
        <f t="shared" si="16"/>
        <v>0.2313274871</v>
      </c>
    </row>
    <row r="41">
      <c r="A41" s="10" t="s">
        <v>23</v>
      </c>
      <c r="B41" s="10">
        <v>310.0</v>
      </c>
      <c r="D41" s="34">
        <f t="shared" si="13"/>
        <v>310</v>
      </c>
      <c r="E41" s="23">
        <f t="shared" si="14"/>
        <v>0.31</v>
      </c>
      <c r="F41" s="26">
        <f t="shared" si="15"/>
        <v>0.8495706078</v>
      </c>
      <c r="G41" s="27">
        <f t="shared" si="16"/>
        <v>2.109162383</v>
      </c>
    </row>
    <row r="42">
      <c r="A42" s="10" t="s">
        <v>24</v>
      </c>
      <c r="E42" s="29">
        <v>0.0</v>
      </c>
      <c r="F42" s="26">
        <f t="shared" si="15"/>
        <v>0</v>
      </c>
      <c r="G42" s="27">
        <f t="shared" si="16"/>
        <v>0</v>
      </c>
    </row>
    <row r="43">
      <c r="A43" s="10" t="s">
        <v>25</v>
      </c>
      <c r="E43" s="29">
        <v>0.0</v>
      </c>
      <c r="F43" s="26">
        <f t="shared" si="15"/>
        <v>0</v>
      </c>
      <c r="G43" s="27">
        <f t="shared" si="16"/>
        <v>0</v>
      </c>
    </row>
    <row r="44">
      <c r="A44" s="3"/>
      <c r="B44" s="38"/>
      <c r="C44" s="38"/>
    </row>
    <row r="45">
      <c r="D45" s="39"/>
      <c r="E45" s="40"/>
      <c r="F45" s="39"/>
    </row>
    <row r="46">
      <c r="A46" s="10" t="s">
        <v>51</v>
      </c>
      <c r="B46" s="41">
        <v>3307.0</v>
      </c>
      <c r="D46" s="39"/>
      <c r="E46" s="40"/>
    </row>
    <row r="47">
      <c r="A47" s="10" t="s">
        <v>52</v>
      </c>
      <c r="B47" s="41">
        <v>9063.0</v>
      </c>
    </row>
    <row r="48">
      <c r="A48" s="10" t="s">
        <v>53</v>
      </c>
      <c r="B48" s="41">
        <v>22500.0</v>
      </c>
    </row>
    <row r="50">
      <c r="A50" s="10" t="s">
        <v>54</v>
      </c>
      <c r="B50" s="33">
        <f>B47/B46</f>
        <v>2.740550348</v>
      </c>
      <c r="E50" s="16"/>
    </row>
    <row r="51">
      <c r="A51" s="10" t="s">
        <v>55</v>
      </c>
      <c r="B51" s="33">
        <f>B48/B46</f>
        <v>6.803749622</v>
      </c>
      <c r="E51" s="42"/>
    </row>
    <row r="52">
      <c r="E52" s="42"/>
    </row>
  </sheetData>
  <mergeCells count="3">
    <mergeCell ref="B1:D1"/>
    <mergeCell ref="E1:G1"/>
    <mergeCell ref="H1:J1"/>
  </mergeCells>
  <hyperlinks>
    <hyperlink r:id="rId1" ref="B23"/>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14.75"/>
    <col customWidth="1" min="3" max="3" width="15.75"/>
    <col customWidth="1" min="4" max="4" width="14.13"/>
    <col customWidth="1" min="5" max="5" width="14.5"/>
    <col customWidth="1" min="6" max="6" width="14.0"/>
    <col customWidth="1" min="7" max="7" width="14.38"/>
    <col customWidth="1" min="8" max="8" width="14.5"/>
  </cols>
  <sheetData>
    <row r="2">
      <c r="A2" s="2" t="s">
        <v>56</v>
      </c>
      <c r="B2" s="43" t="s">
        <v>57</v>
      </c>
      <c r="C2" s="38"/>
    </row>
    <row r="3">
      <c r="A3" s="3" t="s">
        <v>58</v>
      </c>
      <c r="B3" s="44">
        <v>0.008</v>
      </c>
      <c r="C3" s="45"/>
    </row>
    <row r="4">
      <c r="A4" s="3" t="s">
        <v>59</v>
      </c>
      <c r="B4" s="44">
        <v>0.015</v>
      </c>
      <c r="C4" s="45"/>
    </row>
    <row r="5">
      <c r="A5" s="3" t="s">
        <v>60</v>
      </c>
      <c r="B5" s="44">
        <v>0.113</v>
      </c>
      <c r="C5" s="45"/>
    </row>
    <row r="6">
      <c r="A6" s="3" t="s">
        <v>61</v>
      </c>
      <c r="B6" s="44">
        <v>0.102</v>
      </c>
      <c r="C6" s="45"/>
    </row>
    <row r="7">
      <c r="A7" s="3" t="s">
        <v>62</v>
      </c>
      <c r="B7" s="44">
        <v>0.158</v>
      </c>
      <c r="C7" s="45"/>
    </row>
    <row r="8">
      <c r="A8" s="3" t="s">
        <v>63</v>
      </c>
      <c r="B8" s="44">
        <v>0.6</v>
      </c>
      <c r="C8" s="45"/>
    </row>
    <row r="9">
      <c r="H9" s="46" t="s">
        <v>64</v>
      </c>
    </row>
    <row r="10">
      <c r="A10" s="46" t="s">
        <v>65</v>
      </c>
      <c r="H10" s="39">
        <v>1.0</v>
      </c>
      <c r="I10" s="34">
        <f>200/75</f>
        <v>2.666666667</v>
      </c>
      <c r="J10" s="34">
        <f>400/75</f>
        <v>5.333333333</v>
      </c>
    </row>
    <row r="11">
      <c r="A11" s="2" t="s">
        <v>66</v>
      </c>
      <c r="B11" s="47" t="s">
        <v>67</v>
      </c>
      <c r="C11" s="47" t="s">
        <v>68</v>
      </c>
      <c r="D11" s="47" t="s">
        <v>69</v>
      </c>
      <c r="E11" s="47" t="s">
        <v>70</v>
      </c>
      <c r="F11" s="47" t="s">
        <v>62</v>
      </c>
      <c r="G11" s="47" t="s">
        <v>63</v>
      </c>
      <c r="H11" s="48" t="s">
        <v>71</v>
      </c>
      <c r="I11" s="49" t="s">
        <v>72</v>
      </c>
      <c r="J11" s="50" t="s">
        <v>73</v>
      </c>
    </row>
    <row r="12">
      <c r="A12" s="47" t="s">
        <v>74</v>
      </c>
      <c r="B12" s="9">
        <v>9.9031825</v>
      </c>
      <c r="C12" s="9">
        <v>8.94481</v>
      </c>
      <c r="D12" s="9">
        <v>8.47002</v>
      </c>
      <c r="E12" s="9">
        <v>6.2833499999999995</v>
      </c>
      <c r="F12" s="9">
        <v>8.35398</v>
      </c>
      <c r="G12" s="9">
        <v>8.775960000000001</v>
      </c>
      <c r="H12" s="24">
        <f>(B3*B12)+(B4*C12)+(B5*D12)+(B6*E12)+(B7*F12)+(B8*G12)</f>
        <v>8.39691641</v>
      </c>
      <c r="I12" s="26">
        <f t="shared" ref="I12:I21" si="1">H12*$I$10</f>
        <v>22.39177709</v>
      </c>
      <c r="J12" s="28">
        <f t="shared" ref="J12:J21" si="2">H12*$J$10</f>
        <v>44.78355419</v>
      </c>
    </row>
    <row r="13">
      <c r="A13" s="47" t="s">
        <v>75</v>
      </c>
      <c r="B13" s="9">
        <v>26.578864000000003</v>
      </c>
      <c r="C13" s="9">
        <v>14.05613</v>
      </c>
      <c r="D13" s="9">
        <v>15.528369999999999</v>
      </c>
      <c r="E13" s="9">
        <v>6.2833499999999995</v>
      </c>
      <c r="F13" s="9">
        <v>2.78466</v>
      </c>
      <c r="G13" s="9">
        <v>0.0</v>
      </c>
      <c r="H13" s="24">
        <f>(B3*B13)+(B4*C13)+(B5*D13)+(B6*E13)+(B7*F13)+(B8*G13)</f>
        <v>3.259056652</v>
      </c>
      <c r="I13" s="26">
        <f t="shared" si="1"/>
        <v>8.690817739</v>
      </c>
      <c r="J13" s="28">
        <f t="shared" si="2"/>
        <v>17.38163548</v>
      </c>
    </row>
    <row r="14">
      <c r="A14" s="47" t="s">
        <v>76</v>
      </c>
      <c r="B14" s="51">
        <f>26.1316235+D59</f>
        <v>28.2316235</v>
      </c>
      <c r="C14" s="9">
        <f>35.77924+E59</f>
        <v>37.87924</v>
      </c>
      <c r="D14" s="9">
        <f>45.17344+F59</f>
        <v>47.16844</v>
      </c>
      <c r="E14" s="9">
        <f>49.01013+G59</f>
        <v>51.11013</v>
      </c>
      <c r="F14" s="9">
        <f>59.87019+H59</f>
        <v>61.65519</v>
      </c>
      <c r="G14" s="9">
        <f>I59</f>
        <v>2.73</v>
      </c>
      <c r="H14" s="24">
        <f>(B3*B14)+(B4*C14)+(B5*D14)+(B6*E14)+(B7*F14)+(B8*G14)</f>
        <v>22.71682859</v>
      </c>
      <c r="I14" s="26">
        <f t="shared" si="1"/>
        <v>60.57820957</v>
      </c>
      <c r="J14" s="28">
        <f t="shared" si="2"/>
        <v>121.1564191</v>
      </c>
    </row>
    <row r="15">
      <c r="A15" s="47" t="s">
        <v>77</v>
      </c>
      <c r="B15" s="51">
        <f>24.789902+D61</f>
        <v>25.189902</v>
      </c>
      <c r="C15" s="9">
        <f>20.44528+E61</f>
        <v>20.84528</v>
      </c>
      <c r="D15" s="9">
        <f>14.1167+F61</f>
        <v>14.4967</v>
      </c>
      <c r="E15" s="9">
        <f>6.28335+G61</f>
        <v>6.68335</v>
      </c>
      <c r="F15" s="9">
        <f t="shared" ref="F15:G15" si="3">H61</f>
        <v>0.34</v>
      </c>
      <c r="G15" s="9">
        <f t="shared" si="3"/>
        <v>0.52</v>
      </c>
      <c r="H15" s="24">
        <f>(B3*B15)+(B4*C15)+(B5*D15)+(B6*E15)+(B7*F15)+(B8*G15)</f>
        <v>3.199747216</v>
      </c>
      <c r="I15" s="26">
        <f t="shared" si="1"/>
        <v>8.532659243</v>
      </c>
      <c r="J15" s="28">
        <f t="shared" si="2"/>
        <v>17.06531849</v>
      </c>
    </row>
    <row r="16">
      <c r="A16" s="47" t="s">
        <v>78</v>
      </c>
      <c r="B16" s="9">
        <v>60.05801</v>
      </c>
      <c r="C16" s="9">
        <v>67.72499</v>
      </c>
      <c r="D16" s="9">
        <v>70.5835</v>
      </c>
      <c r="E16" s="9">
        <v>56.550149999999995</v>
      </c>
      <c r="F16" s="9">
        <v>61.26252</v>
      </c>
      <c r="G16" s="9">
        <v>96.53556</v>
      </c>
      <c r="H16" s="24">
        <f>(B3*B16)+(B4*C16)+(B5*D16)+(B6*E16)+(B7*F16)+(B8*G16)</f>
        <v>82.84120389</v>
      </c>
      <c r="I16" s="26">
        <f t="shared" si="1"/>
        <v>220.909877</v>
      </c>
      <c r="J16" s="28">
        <f t="shared" si="2"/>
        <v>441.8197541</v>
      </c>
    </row>
    <row r="17">
      <c r="A17" s="47" t="s">
        <v>79</v>
      </c>
      <c r="B17" s="9">
        <v>44.72405</v>
      </c>
      <c r="C17" s="9">
        <v>44.72405</v>
      </c>
      <c r="D17" s="9">
        <v>46.58511</v>
      </c>
      <c r="E17" s="9">
        <v>37.7001</v>
      </c>
      <c r="F17" s="9">
        <v>41.7699</v>
      </c>
      <c r="G17" s="9">
        <v>64.35704</v>
      </c>
      <c r="H17" s="24">
        <f>(B3*B17)+(B4*C17)+(B5*D17)+(B6*E17)+(B7*F17)+(B8*G17)</f>
        <v>55.35204898</v>
      </c>
      <c r="I17" s="26">
        <f t="shared" si="1"/>
        <v>147.6054639</v>
      </c>
      <c r="J17" s="28">
        <f t="shared" si="2"/>
        <v>295.2109279</v>
      </c>
    </row>
    <row r="18">
      <c r="A18" s="47" t="s">
        <v>80</v>
      </c>
      <c r="B18" s="9">
        <v>25.5566</v>
      </c>
      <c r="C18" s="9">
        <v>25.5566</v>
      </c>
      <c r="D18" s="9">
        <v>26.82173</v>
      </c>
      <c r="E18" s="9">
        <v>25.133399999999998</v>
      </c>
      <c r="F18" s="9">
        <v>23.669610000000002</v>
      </c>
      <c r="G18" s="9">
        <v>38.029160000000005</v>
      </c>
      <c r="H18" s="24">
        <f>(B3*B18)+(B4*C18)+(B5*D18)+(B6*E18)+(B7*F18)+(B8*G18)</f>
        <v>32.73955847</v>
      </c>
      <c r="I18" s="26">
        <f t="shared" si="1"/>
        <v>87.30548925</v>
      </c>
      <c r="J18" s="28">
        <f t="shared" si="2"/>
        <v>174.6109785</v>
      </c>
    </row>
    <row r="19">
      <c r="A19" s="47" t="s">
        <v>25</v>
      </c>
      <c r="B19" s="9">
        <v>0.0</v>
      </c>
      <c r="C19" s="9">
        <v>0.0</v>
      </c>
      <c r="D19" s="9">
        <v>0.0</v>
      </c>
      <c r="E19" s="9">
        <v>0.0</v>
      </c>
      <c r="F19" s="9">
        <v>0.0</v>
      </c>
      <c r="G19" s="9">
        <v>36.566500000000005</v>
      </c>
      <c r="H19" s="24">
        <f>(B3*B19)+(B4*C19)+(B5*D19)+(B6*E19)+(B7*F19)+(B8*G19)</f>
        <v>21.9399</v>
      </c>
      <c r="I19" s="26">
        <f t="shared" si="1"/>
        <v>58.5064</v>
      </c>
      <c r="J19" s="28">
        <f t="shared" si="2"/>
        <v>117.0128</v>
      </c>
    </row>
    <row r="20">
      <c r="A20" s="4" t="s">
        <v>81</v>
      </c>
      <c r="B20" s="52">
        <v>13.401</v>
      </c>
      <c r="C20" s="34">
        <v>13.401</v>
      </c>
      <c r="D20" s="34">
        <v>12.73095</v>
      </c>
      <c r="E20" s="34">
        <v>13.401</v>
      </c>
      <c r="F20" s="34">
        <v>11.39085</v>
      </c>
      <c r="G20" s="34">
        <v>58.4213</v>
      </c>
      <c r="H20" s="24">
        <f>(B3*B20)+(B4*C20)+(B5*D20)+(B6*E20)+(B7*F20)+(B8*G20)</f>
        <v>39.96625665</v>
      </c>
      <c r="I20" s="26">
        <f t="shared" si="1"/>
        <v>106.5766844</v>
      </c>
      <c r="J20" s="28">
        <f t="shared" si="2"/>
        <v>213.1533688</v>
      </c>
    </row>
    <row r="21">
      <c r="A21" s="4" t="s">
        <v>82</v>
      </c>
      <c r="B21" s="52">
        <v>3.9000000000000004</v>
      </c>
      <c r="C21" s="34">
        <v>3.9000000000000004</v>
      </c>
      <c r="D21" s="34">
        <v>3.705</v>
      </c>
      <c r="E21" s="34">
        <v>3.9000000000000004</v>
      </c>
      <c r="F21" s="34">
        <v>3.315</v>
      </c>
      <c r="G21" s="34">
        <v>5.07</v>
      </c>
      <c r="H21" s="24">
        <f>(B3*B21)+(B4*C21)+(B5*D21)+(B6*E21)+(B7*F21)+(B8*G21)</f>
        <v>4.471935</v>
      </c>
      <c r="I21" s="26">
        <f t="shared" si="1"/>
        <v>11.92516</v>
      </c>
      <c r="J21" s="28">
        <f t="shared" si="2"/>
        <v>23.85032</v>
      </c>
    </row>
    <row r="24">
      <c r="A24" s="53" t="s">
        <v>83</v>
      </c>
      <c r="B24" s="35"/>
      <c r="C24" s="35"/>
      <c r="D24" s="35"/>
      <c r="F24" s="54"/>
    </row>
    <row r="25">
      <c r="A25" s="37" t="s">
        <v>84</v>
      </c>
      <c r="F25" s="54"/>
    </row>
    <row r="26">
      <c r="A26" s="4" t="s">
        <v>85</v>
      </c>
      <c r="B26" s="4" t="s">
        <v>86</v>
      </c>
      <c r="C26" s="4" t="s">
        <v>87</v>
      </c>
      <c r="D26" s="4" t="s">
        <v>88</v>
      </c>
      <c r="E26" s="4" t="s">
        <v>89</v>
      </c>
      <c r="F26" s="55" t="s">
        <v>90</v>
      </c>
      <c r="G26" s="54"/>
    </row>
    <row r="27">
      <c r="A27" s="56" t="s">
        <v>91</v>
      </c>
      <c r="B27" s="56">
        <v>9063.0</v>
      </c>
      <c r="C27" s="57">
        <v>10550.0</v>
      </c>
      <c r="D27" s="57">
        <v>2818.0</v>
      </c>
      <c r="E27" s="56">
        <v>200.0</v>
      </c>
      <c r="F27" s="58" t="s">
        <v>92</v>
      </c>
      <c r="G27" s="59" t="s">
        <v>93</v>
      </c>
    </row>
    <row r="28">
      <c r="A28" s="10" t="s">
        <v>94</v>
      </c>
      <c r="C28" s="41">
        <v>11000.0</v>
      </c>
      <c r="E28" s="10">
        <v>120.0</v>
      </c>
      <c r="F28" s="58" t="s">
        <v>95</v>
      </c>
      <c r="G28" s="54"/>
    </row>
    <row r="30">
      <c r="A30" s="53" t="s">
        <v>96</v>
      </c>
      <c r="B30" s="35"/>
      <c r="C30" s="35"/>
      <c r="D30" s="35"/>
    </row>
    <row r="31">
      <c r="A31" s="37" t="s">
        <v>84</v>
      </c>
    </row>
    <row r="33">
      <c r="A33" s="4" t="s">
        <v>85</v>
      </c>
      <c r="B33" s="4" t="s">
        <v>86</v>
      </c>
      <c r="C33" s="4" t="s">
        <v>87</v>
      </c>
      <c r="D33" s="4" t="s">
        <v>89</v>
      </c>
      <c r="E33" s="55" t="s">
        <v>90</v>
      </c>
      <c r="F33" s="54"/>
    </row>
    <row r="34">
      <c r="A34" s="10" t="s">
        <v>97</v>
      </c>
      <c r="B34" s="41">
        <v>26649.0</v>
      </c>
      <c r="C34" s="41">
        <v>43650.0</v>
      </c>
      <c r="D34" s="10">
        <v>220.0</v>
      </c>
      <c r="E34" s="58" t="s">
        <v>98</v>
      </c>
      <c r="F34" s="54"/>
    </row>
    <row r="35">
      <c r="A35" s="10" t="s">
        <v>99</v>
      </c>
      <c r="B35" s="41">
        <v>29849.0</v>
      </c>
      <c r="C35" s="41">
        <v>43650.0</v>
      </c>
      <c r="D35" s="10">
        <v>440.0</v>
      </c>
      <c r="E35" s="58" t="s">
        <v>98</v>
      </c>
      <c r="F35" s="54"/>
    </row>
    <row r="36">
      <c r="A36" s="10" t="s">
        <v>100</v>
      </c>
      <c r="B36" s="41">
        <v>33149.0</v>
      </c>
      <c r="C36" s="41">
        <v>43650.0</v>
      </c>
      <c r="D36" s="10">
        <v>660.0</v>
      </c>
      <c r="E36" s="58" t="s">
        <v>98</v>
      </c>
      <c r="F36" s="54"/>
    </row>
    <row r="37">
      <c r="A37" s="10" t="s">
        <v>101</v>
      </c>
      <c r="B37" s="41">
        <v>26588.0</v>
      </c>
      <c r="C37" s="41">
        <v>42990.0</v>
      </c>
      <c r="D37" s="10">
        <v>470.0</v>
      </c>
      <c r="E37" s="58" t="s">
        <v>102</v>
      </c>
      <c r="F37" s="58" t="s">
        <v>103</v>
      </c>
    </row>
    <row r="38">
      <c r="A38" s="10" t="s">
        <v>104</v>
      </c>
      <c r="B38" s="41">
        <v>28880.0</v>
      </c>
      <c r="C38" s="41">
        <v>39680.0</v>
      </c>
      <c r="D38" s="10">
        <v>255.0</v>
      </c>
      <c r="E38" s="58" t="s">
        <v>105</v>
      </c>
      <c r="F38" s="54"/>
    </row>
    <row r="39">
      <c r="A39" s="56" t="s">
        <v>106</v>
      </c>
      <c r="B39" s="57">
        <v>22500.0</v>
      </c>
      <c r="C39" s="57">
        <v>82000.0</v>
      </c>
      <c r="D39" s="56">
        <v>396.0</v>
      </c>
      <c r="E39" s="58" t="s">
        <v>107</v>
      </c>
      <c r="F39" s="58" t="s">
        <v>108</v>
      </c>
    </row>
    <row r="40">
      <c r="E40" s="54"/>
      <c r="F40" s="54"/>
    </row>
    <row r="41">
      <c r="A41" s="10" t="s">
        <v>109</v>
      </c>
      <c r="E41" s="58" t="s">
        <v>110</v>
      </c>
      <c r="F41" s="54"/>
    </row>
    <row r="42">
      <c r="E42" s="54"/>
      <c r="F42" s="54"/>
    </row>
    <row r="43">
      <c r="A43" s="53" t="s">
        <v>111</v>
      </c>
      <c r="B43" s="35"/>
      <c r="C43" s="35"/>
      <c r="D43" s="35"/>
      <c r="E43" s="54"/>
      <c r="F43" s="54"/>
    </row>
    <row r="44">
      <c r="A44" s="37" t="s">
        <v>84</v>
      </c>
      <c r="E44" s="54"/>
      <c r="F44" s="54"/>
    </row>
    <row r="45">
      <c r="A45" s="10" t="s">
        <v>85</v>
      </c>
      <c r="B45" s="10" t="s">
        <v>86</v>
      </c>
      <c r="C45" s="60" t="s">
        <v>90</v>
      </c>
      <c r="E45" s="54"/>
    </row>
    <row r="46">
      <c r="A46" s="10" t="s">
        <v>112</v>
      </c>
      <c r="B46" s="10">
        <v>3307.0</v>
      </c>
      <c r="C46" s="58" t="s">
        <v>41</v>
      </c>
      <c r="E46" s="54"/>
    </row>
    <row r="47">
      <c r="C47" s="54"/>
    </row>
    <row r="48">
      <c r="A48" s="46" t="s">
        <v>113</v>
      </c>
    </row>
    <row r="49">
      <c r="A49" s="10" t="s">
        <v>114</v>
      </c>
      <c r="C49" s="54"/>
    </row>
    <row r="50">
      <c r="A50" s="10" t="s">
        <v>115</v>
      </c>
      <c r="C50" s="54"/>
    </row>
    <row r="51">
      <c r="A51" s="58" t="s">
        <v>116</v>
      </c>
    </row>
    <row r="52">
      <c r="A52" s="58" t="s">
        <v>117</v>
      </c>
    </row>
    <row r="53">
      <c r="A53" s="58" t="s">
        <v>118</v>
      </c>
    </row>
    <row r="54">
      <c r="A54" s="58" t="s">
        <v>119</v>
      </c>
    </row>
    <row r="56">
      <c r="A56" s="10" t="s">
        <v>120</v>
      </c>
    </row>
    <row r="57">
      <c r="A57" s="47" t="s">
        <v>121</v>
      </c>
      <c r="B57" s="47" t="s">
        <v>122</v>
      </c>
      <c r="C57" s="2" t="s">
        <v>123</v>
      </c>
      <c r="D57" s="2" t="s">
        <v>124</v>
      </c>
      <c r="E57" s="2" t="s">
        <v>125</v>
      </c>
      <c r="F57" s="2" t="s">
        <v>126</v>
      </c>
      <c r="G57" s="2" t="s">
        <v>127</v>
      </c>
      <c r="H57" s="2" t="s">
        <v>128</v>
      </c>
      <c r="I57" s="2" t="s">
        <v>129</v>
      </c>
    </row>
    <row r="58">
      <c r="A58" s="3" t="s">
        <v>130</v>
      </c>
      <c r="B58" s="15" t="s">
        <v>15</v>
      </c>
      <c r="C58" s="61">
        <v>0.67005</v>
      </c>
      <c r="D58" s="52">
        <f t="shared" ref="D58:D61" si="4">20*C58</f>
        <v>13.401</v>
      </c>
      <c r="E58" s="34">
        <f t="shared" ref="E58:E61" si="5">20*C58</f>
        <v>13.401</v>
      </c>
      <c r="F58" s="34">
        <f t="shared" ref="F58:F61" si="6">19*C58</f>
        <v>12.73095</v>
      </c>
      <c r="G58" s="34">
        <f t="shared" ref="G58:G61" si="7">20*C58</f>
        <v>13.401</v>
      </c>
      <c r="H58" s="34">
        <f t="shared" ref="H58:H61" si="8">17*C58</f>
        <v>11.39085</v>
      </c>
      <c r="I58" s="34">
        <f>(26*C58)+41</f>
        <v>58.4213</v>
      </c>
    </row>
    <row r="59">
      <c r="A59" s="62" t="s">
        <v>131</v>
      </c>
      <c r="B59" s="15" t="s">
        <v>17</v>
      </c>
      <c r="C59" s="61">
        <v>0.105</v>
      </c>
      <c r="D59" s="52">
        <f t="shared" si="4"/>
        <v>2.1</v>
      </c>
      <c r="E59" s="34">
        <f t="shared" si="5"/>
        <v>2.1</v>
      </c>
      <c r="F59" s="34">
        <f t="shared" si="6"/>
        <v>1.995</v>
      </c>
      <c r="G59" s="34">
        <f t="shared" si="7"/>
        <v>2.1</v>
      </c>
      <c r="H59" s="34">
        <f t="shared" si="8"/>
        <v>1.785</v>
      </c>
      <c r="I59" s="34">
        <f t="shared" ref="I59:I61" si="9">26*C59</f>
        <v>2.73</v>
      </c>
    </row>
    <row r="60">
      <c r="A60" s="62" t="s">
        <v>132</v>
      </c>
      <c r="B60" s="15" t="s">
        <v>26</v>
      </c>
      <c r="C60" s="61">
        <v>0.195</v>
      </c>
      <c r="D60" s="52">
        <f t="shared" si="4"/>
        <v>3.9</v>
      </c>
      <c r="E60" s="34">
        <f t="shared" si="5"/>
        <v>3.9</v>
      </c>
      <c r="F60" s="34">
        <f t="shared" si="6"/>
        <v>3.705</v>
      </c>
      <c r="G60" s="34">
        <f t="shared" si="7"/>
        <v>3.9</v>
      </c>
      <c r="H60" s="34">
        <f t="shared" si="8"/>
        <v>3.315</v>
      </c>
      <c r="I60" s="34">
        <f t="shared" si="9"/>
        <v>5.07</v>
      </c>
    </row>
    <row r="61">
      <c r="A61" s="3"/>
      <c r="B61" s="15" t="s">
        <v>14</v>
      </c>
      <c r="C61" s="61">
        <v>0.02</v>
      </c>
      <c r="D61" s="52">
        <f t="shared" si="4"/>
        <v>0.4</v>
      </c>
      <c r="E61" s="34">
        <f t="shared" si="5"/>
        <v>0.4</v>
      </c>
      <c r="F61" s="34">
        <f t="shared" si="6"/>
        <v>0.38</v>
      </c>
      <c r="G61" s="34">
        <f t="shared" si="7"/>
        <v>0.4</v>
      </c>
      <c r="H61" s="34">
        <f t="shared" si="8"/>
        <v>0.34</v>
      </c>
      <c r="I61" s="34">
        <f t="shared" si="9"/>
        <v>0.52</v>
      </c>
    </row>
    <row r="62">
      <c r="A62" s="63" t="s">
        <v>133</v>
      </c>
      <c r="B62" s="15"/>
      <c r="C62" s="64"/>
      <c r="D62" s="61"/>
    </row>
    <row r="63">
      <c r="A63" s="3"/>
      <c r="B63" s="15"/>
      <c r="C63" s="64"/>
    </row>
    <row r="64">
      <c r="A64" s="3"/>
      <c r="B64" s="15"/>
      <c r="C64" s="64"/>
    </row>
    <row r="65">
      <c r="A65" s="3"/>
      <c r="B65" s="15"/>
      <c r="C65" s="64"/>
    </row>
    <row r="66">
      <c r="A66" s="3"/>
      <c r="B66" s="15"/>
      <c r="C66" s="64"/>
    </row>
  </sheetData>
  <mergeCells count="3">
    <mergeCell ref="H9:J9"/>
    <mergeCell ref="A10:G10"/>
    <mergeCell ref="A48:D48"/>
  </mergeCells>
  <hyperlinks>
    <hyperlink r:id="rId1" ref="A25"/>
    <hyperlink r:id="rId2" ref="F27"/>
    <hyperlink r:id="rId3" ref="G27"/>
    <hyperlink r:id="rId4" ref="F28"/>
    <hyperlink r:id="rId5" ref="A31"/>
    <hyperlink r:id="rId6" ref="E34"/>
    <hyperlink r:id="rId7" ref="E35"/>
    <hyperlink r:id="rId8" ref="E36"/>
    <hyperlink r:id="rId9" ref="E37"/>
    <hyperlink r:id="rId10" ref="F37"/>
    <hyperlink r:id="rId11" ref="E38"/>
    <hyperlink r:id="rId12" location=":~:text=Curb%20weight%20for%20the%20T680E,is%20a%20slimmer%2015%2C500%20lbs." ref="E39"/>
    <hyperlink r:id="rId13" ref="F39"/>
    <hyperlink r:id="rId14" ref="E41"/>
    <hyperlink r:id="rId15" ref="A44"/>
    <hyperlink r:id="rId16" ref="C46"/>
    <hyperlink r:id="rId17" ref="A51"/>
    <hyperlink r:id="rId18" ref="A52"/>
    <hyperlink r:id="rId19" location=":~:text=Stainless%20steel%20can%20save%20weight,the%20event%20of%20a%20fire." ref="A53"/>
    <hyperlink r:id="rId20" ref="A54"/>
    <hyperlink r:id="rId21" ref="A59"/>
    <hyperlink r:id="rId22" ref="A60"/>
  </hyperlinks>
  <drawing r:id="rId2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0"/>
    <col customWidth="1" min="2" max="2" width="17.0"/>
    <col customWidth="1" min="4" max="4" width="19.0"/>
    <col customWidth="1" min="5" max="5" width="17.0"/>
    <col customWidth="1" min="7" max="7" width="16.0"/>
    <col customWidth="1" min="8" max="8" width="14.38"/>
    <col customWidth="1" min="10" max="10" width="16.88"/>
    <col customWidth="1" min="11" max="11" width="18.75"/>
    <col customWidth="1" min="12" max="12" width="22.13"/>
    <col customWidth="1" min="13" max="13" width="20.75"/>
    <col customWidth="1" min="14" max="14" width="16.13"/>
    <col customWidth="1" min="15" max="15" width="15.0"/>
  </cols>
  <sheetData>
    <row r="1">
      <c r="A1" s="10" t="s">
        <v>134</v>
      </c>
      <c r="B1" s="10"/>
    </row>
    <row r="2">
      <c r="A2" s="63" t="s">
        <v>135</v>
      </c>
      <c r="B2" s="10"/>
    </row>
    <row r="3">
      <c r="A3" s="65" t="s">
        <v>136</v>
      </c>
      <c r="B3" s="10"/>
    </row>
    <row r="4">
      <c r="A4" s="10" t="s">
        <v>137</v>
      </c>
      <c r="B4" s="10"/>
    </row>
    <row r="5">
      <c r="A5" s="10" t="s">
        <v>138</v>
      </c>
      <c r="B5" s="10"/>
    </row>
    <row r="6">
      <c r="A6" s="10" t="s">
        <v>139</v>
      </c>
      <c r="B6" s="10"/>
    </row>
    <row r="7">
      <c r="A7" s="10" t="s">
        <v>140</v>
      </c>
      <c r="B7" s="10"/>
    </row>
    <row r="8">
      <c r="A8" s="66" t="s">
        <v>141</v>
      </c>
      <c r="B8" s="10"/>
    </row>
    <row r="9">
      <c r="A9" s="66" t="s">
        <v>142</v>
      </c>
      <c r="B9" s="10"/>
    </row>
    <row r="10">
      <c r="A10" s="46" t="s">
        <v>80</v>
      </c>
      <c r="D10" s="46" t="s">
        <v>76</v>
      </c>
      <c r="G10" s="46" t="s">
        <v>78</v>
      </c>
      <c r="J10" s="46" t="s">
        <v>143</v>
      </c>
      <c r="M10" s="46" t="s">
        <v>144</v>
      </c>
      <c r="O10" s="54"/>
    </row>
    <row r="11">
      <c r="A11" s="10" t="s">
        <v>145</v>
      </c>
      <c r="B11" s="16">
        <v>1260000.0</v>
      </c>
      <c r="D11" s="10" t="s">
        <v>145</v>
      </c>
      <c r="E11" s="41">
        <v>13500.0</v>
      </c>
      <c r="G11" s="10" t="s">
        <v>145</v>
      </c>
      <c r="H11" s="10">
        <v>0.0</v>
      </c>
      <c r="J11" s="10" t="s">
        <v>145</v>
      </c>
      <c r="K11" s="41">
        <v>28000.0</v>
      </c>
      <c r="M11" s="10" t="s">
        <v>146</v>
      </c>
      <c r="N11" s="10">
        <v>940.0</v>
      </c>
      <c r="O11" s="59" t="s">
        <v>147</v>
      </c>
    </row>
    <row r="12">
      <c r="A12" s="10" t="s">
        <v>148</v>
      </c>
      <c r="B12" s="16">
        <v>1200000.0</v>
      </c>
      <c r="D12" s="10" t="s">
        <v>148</v>
      </c>
      <c r="E12" s="41">
        <v>16700.0</v>
      </c>
      <c r="G12" s="10" t="s">
        <v>148</v>
      </c>
      <c r="H12" s="10">
        <v>0.0</v>
      </c>
      <c r="J12" s="10" t="s">
        <v>148</v>
      </c>
      <c r="K12" s="41">
        <v>39000.0</v>
      </c>
      <c r="M12" s="10" t="s">
        <v>149</v>
      </c>
      <c r="N12" s="41">
        <v>1692.0</v>
      </c>
      <c r="O12" s="58" t="s">
        <v>150</v>
      </c>
    </row>
    <row r="13">
      <c r="A13" s="10" t="s">
        <v>151</v>
      </c>
      <c r="B13" s="16">
        <v>1230000.0</v>
      </c>
      <c r="D13" s="10" t="s">
        <v>151</v>
      </c>
      <c r="E13" s="41">
        <v>18400.0</v>
      </c>
      <c r="G13" s="10" t="s">
        <v>151</v>
      </c>
      <c r="H13" s="10">
        <v>0.0</v>
      </c>
      <c r="J13" s="10" t="s">
        <v>151</v>
      </c>
      <c r="K13" s="41">
        <v>42000.0</v>
      </c>
      <c r="M13" s="10" t="s">
        <v>152</v>
      </c>
      <c r="N13" s="16">
        <f>SUM(N11:N12)</f>
        <v>2632</v>
      </c>
      <c r="O13" s="54"/>
    </row>
    <row r="14">
      <c r="A14" s="10" t="s">
        <v>153</v>
      </c>
      <c r="B14" s="16">
        <v>1230000.0</v>
      </c>
      <c r="D14" s="10" t="s">
        <v>153</v>
      </c>
      <c r="E14" s="41">
        <v>17500.0</v>
      </c>
      <c r="G14" s="10" t="s">
        <v>153</v>
      </c>
      <c r="H14" s="10">
        <v>0.0</v>
      </c>
      <c r="J14" s="10" t="s">
        <v>153</v>
      </c>
      <c r="K14" s="41">
        <v>42000.0</v>
      </c>
      <c r="O14" s="54"/>
    </row>
    <row r="15">
      <c r="A15" s="10" t="s">
        <v>154</v>
      </c>
      <c r="B15" s="41">
        <v>1100000.0</v>
      </c>
      <c r="D15" s="10" t="s">
        <v>154</v>
      </c>
      <c r="E15" s="41">
        <v>17000.0</v>
      </c>
      <c r="G15" s="10" t="s">
        <v>154</v>
      </c>
      <c r="H15" s="10">
        <v>0.0</v>
      </c>
      <c r="J15" s="10" t="s">
        <v>154</v>
      </c>
      <c r="K15" s="41">
        <v>43000.0</v>
      </c>
    </row>
    <row r="16">
      <c r="A16" s="10" t="s">
        <v>155</v>
      </c>
      <c r="B16" s="41">
        <f>AVERAGE(B11:B15)</f>
        <v>1204000</v>
      </c>
      <c r="D16" s="10" t="s">
        <v>155</v>
      </c>
      <c r="E16" s="41">
        <f>AVERAGE(E11:E15)</f>
        <v>16620</v>
      </c>
      <c r="G16" s="10" t="s">
        <v>155</v>
      </c>
      <c r="H16" s="10">
        <v>0.0</v>
      </c>
      <c r="J16" s="10" t="s">
        <v>155</v>
      </c>
      <c r="K16" s="16">
        <f>AVERAGE(K11:K15)</f>
        <v>38800</v>
      </c>
    </row>
    <row r="17">
      <c r="A17" s="10"/>
      <c r="B17" s="41"/>
      <c r="D17" s="10"/>
      <c r="E17" s="41"/>
      <c r="G17" s="10"/>
      <c r="H17" s="10"/>
    </row>
    <row r="18">
      <c r="A18" s="10" t="s">
        <v>156</v>
      </c>
      <c r="B18" s="41">
        <v>166000.0</v>
      </c>
      <c r="D18" s="10" t="s">
        <v>156</v>
      </c>
      <c r="E18" s="41">
        <v>111000.0</v>
      </c>
      <c r="G18" s="10" t="s">
        <v>156</v>
      </c>
      <c r="H18" s="10">
        <v>0.0</v>
      </c>
      <c r="J18" s="10" t="s">
        <v>156</v>
      </c>
      <c r="K18" s="10">
        <v>0.0</v>
      </c>
      <c r="M18" s="10" t="s">
        <v>156</v>
      </c>
      <c r="N18" s="10">
        <v>0.0</v>
      </c>
    </row>
    <row r="19">
      <c r="A19" s="10" t="s">
        <v>157</v>
      </c>
      <c r="B19" s="41">
        <v>161000.0</v>
      </c>
      <c r="D19" s="10" t="s">
        <v>157</v>
      </c>
      <c r="E19" s="41">
        <v>110000.0</v>
      </c>
      <c r="G19" s="10" t="s">
        <v>157</v>
      </c>
      <c r="H19" s="10">
        <v>0.0</v>
      </c>
      <c r="J19" s="10" t="s">
        <v>157</v>
      </c>
      <c r="K19" s="10">
        <v>0.0</v>
      </c>
      <c r="M19" s="10" t="s">
        <v>157</v>
      </c>
      <c r="N19" s="10">
        <v>0.0</v>
      </c>
    </row>
    <row r="20">
      <c r="A20" s="10" t="s">
        <v>158</v>
      </c>
      <c r="B20" s="41">
        <v>157000.0</v>
      </c>
      <c r="D20" s="10" t="s">
        <v>158</v>
      </c>
      <c r="E20" s="41">
        <v>100000.0</v>
      </c>
      <c r="G20" s="10" t="s">
        <v>158</v>
      </c>
      <c r="H20" s="10">
        <v>0.0</v>
      </c>
      <c r="J20" s="10" t="s">
        <v>158</v>
      </c>
      <c r="K20" s="10">
        <v>0.0</v>
      </c>
      <c r="M20" s="10" t="s">
        <v>158</v>
      </c>
      <c r="N20" s="10">
        <v>0.0</v>
      </c>
    </row>
    <row r="21">
      <c r="A21" s="10" t="s">
        <v>159</v>
      </c>
      <c r="B21" s="41">
        <v>150000.0</v>
      </c>
      <c r="D21" s="10" t="s">
        <v>159</v>
      </c>
      <c r="E21" s="41">
        <v>97000.0</v>
      </c>
      <c r="G21" s="10" t="s">
        <v>159</v>
      </c>
      <c r="H21" s="10">
        <v>0.0</v>
      </c>
      <c r="J21" s="10" t="s">
        <v>159</v>
      </c>
      <c r="K21" s="10">
        <v>0.0</v>
      </c>
      <c r="M21" s="10" t="s">
        <v>159</v>
      </c>
      <c r="N21" s="10">
        <v>0.0</v>
      </c>
    </row>
    <row r="22">
      <c r="A22" s="10" t="s">
        <v>160</v>
      </c>
      <c r="B22" s="41">
        <v>150000.0</v>
      </c>
      <c r="D22" s="10" t="s">
        <v>160</v>
      </c>
      <c r="E22" s="41">
        <v>80000.0</v>
      </c>
      <c r="G22" s="10" t="s">
        <v>160</v>
      </c>
      <c r="H22" s="10">
        <v>0.0</v>
      </c>
      <c r="J22" s="10" t="s">
        <v>160</v>
      </c>
      <c r="K22" s="10">
        <v>0.0</v>
      </c>
      <c r="M22" s="10" t="s">
        <v>160</v>
      </c>
      <c r="N22" s="10">
        <v>0.0</v>
      </c>
    </row>
    <row r="23">
      <c r="A23" s="10" t="s">
        <v>161</v>
      </c>
      <c r="B23" s="41">
        <f>AVERAGE(B18:B22)</f>
        <v>156800</v>
      </c>
      <c r="D23" s="10" t="s">
        <v>161</v>
      </c>
      <c r="E23" s="16">
        <f>AVERAGE(E18:E22)</f>
        <v>99600</v>
      </c>
      <c r="G23" s="10" t="s">
        <v>161</v>
      </c>
      <c r="H23" s="10">
        <v>0.0</v>
      </c>
      <c r="J23" s="10" t="s">
        <v>161</v>
      </c>
      <c r="K23" s="10">
        <v>0.0</v>
      </c>
      <c r="M23" s="10" t="s">
        <v>161</v>
      </c>
      <c r="N23" s="10">
        <v>0.0</v>
      </c>
    </row>
    <row r="24">
      <c r="A24" s="10"/>
      <c r="B24" s="41"/>
      <c r="D24" s="10"/>
      <c r="G24" s="10"/>
      <c r="H24" s="10"/>
      <c r="J24" s="10"/>
    </row>
    <row r="25">
      <c r="A25" s="10" t="s">
        <v>162</v>
      </c>
      <c r="B25" s="41">
        <f>SUM(B16+B23)</f>
        <v>1360800</v>
      </c>
      <c r="D25" s="10" t="s">
        <v>162</v>
      </c>
      <c r="E25" s="16">
        <f>SUM(E16+E23)</f>
        <v>116220</v>
      </c>
      <c r="G25" s="10" t="s">
        <v>162</v>
      </c>
      <c r="H25" s="10">
        <v>0.0</v>
      </c>
      <c r="J25" s="10" t="s">
        <v>162</v>
      </c>
      <c r="K25" s="16">
        <f>SUM(K16+K23)</f>
        <v>38800</v>
      </c>
      <c r="M25" s="10" t="s">
        <v>162</v>
      </c>
      <c r="N25" s="16">
        <f>N13+N23</f>
        <v>2632</v>
      </c>
    </row>
    <row r="26">
      <c r="A26" s="10"/>
      <c r="B26" s="41"/>
      <c r="J26" s="10" t="s">
        <v>163</v>
      </c>
      <c r="K26" s="16">
        <f>K25*0.16044</f>
        <v>6225.072</v>
      </c>
    </row>
    <row r="27">
      <c r="A27" s="10" t="s">
        <v>164</v>
      </c>
      <c r="B27" s="41">
        <v>810000.0</v>
      </c>
      <c r="D27" s="10" t="s">
        <v>164</v>
      </c>
      <c r="E27" s="41">
        <v>160000.0</v>
      </c>
      <c r="G27" s="10" t="s">
        <v>165</v>
      </c>
      <c r="H27" s="41">
        <v>3500.0</v>
      </c>
      <c r="J27" s="10" t="s">
        <v>166</v>
      </c>
      <c r="K27" s="16">
        <f>K26*0.857</f>
        <v>5334.886704</v>
      </c>
      <c r="M27" s="10" t="s">
        <v>164</v>
      </c>
      <c r="N27" s="41">
        <v>86000.0</v>
      </c>
    </row>
    <row r="28">
      <c r="A28" s="10" t="s">
        <v>165</v>
      </c>
      <c r="B28" s="41">
        <v>480000.0</v>
      </c>
      <c r="D28" s="10" t="s">
        <v>165</v>
      </c>
      <c r="E28" s="41">
        <v>180000.0</v>
      </c>
      <c r="G28" s="10" t="s">
        <v>167</v>
      </c>
      <c r="H28" s="10">
        <v>150.0</v>
      </c>
      <c r="M28" s="10" t="s">
        <v>165</v>
      </c>
      <c r="N28" s="41">
        <v>3400.0</v>
      </c>
    </row>
    <row r="29">
      <c r="A29" s="10" t="s">
        <v>168</v>
      </c>
      <c r="B29" s="41">
        <v>5000000.0</v>
      </c>
      <c r="D29" s="10" t="s">
        <v>169</v>
      </c>
      <c r="E29" s="41">
        <v>230000.0</v>
      </c>
      <c r="G29" s="10" t="s">
        <v>170</v>
      </c>
      <c r="H29" s="41">
        <v>27000.0</v>
      </c>
      <c r="J29" s="10" t="s">
        <v>164</v>
      </c>
      <c r="K29" s="41">
        <v>18000.0</v>
      </c>
      <c r="M29" s="10" t="s">
        <v>168</v>
      </c>
      <c r="N29" s="41">
        <v>44000.0</v>
      </c>
    </row>
    <row r="30">
      <c r="A30" s="10" t="s">
        <v>171</v>
      </c>
      <c r="B30" s="41">
        <v>750000.0</v>
      </c>
      <c r="D30" s="10" t="s">
        <v>172</v>
      </c>
      <c r="E30" s="41">
        <v>400000.0</v>
      </c>
      <c r="G30" s="10" t="s">
        <v>171</v>
      </c>
      <c r="H30" s="41">
        <v>2000.0</v>
      </c>
      <c r="J30" s="10" t="s">
        <v>173</v>
      </c>
      <c r="K30" s="16">
        <f>SUM(K29)</f>
        <v>18000</v>
      </c>
      <c r="M30" s="10" t="s">
        <v>174</v>
      </c>
      <c r="N30" s="10">
        <v>380.0</v>
      </c>
    </row>
    <row r="31">
      <c r="A31" s="10" t="s">
        <v>175</v>
      </c>
      <c r="B31" s="41">
        <v>2600000.0</v>
      </c>
      <c r="D31" s="10" t="s">
        <v>173</v>
      </c>
      <c r="E31" s="16">
        <f>SUM(E27:E30)</f>
        <v>970000</v>
      </c>
      <c r="G31" s="10" t="s">
        <v>176</v>
      </c>
      <c r="H31" s="41">
        <v>7200.0</v>
      </c>
      <c r="J31" s="10" t="s">
        <v>163</v>
      </c>
      <c r="K31" s="16">
        <f>K30*0.2363</f>
        <v>4253.4</v>
      </c>
      <c r="M31" s="10" t="s">
        <v>173</v>
      </c>
      <c r="N31" s="16">
        <f>SUM(N27:N30)</f>
        <v>133780</v>
      </c>
    </row>
    <row r="32">
      <c r="A32" s="10" t="s">
        <v>177</v>
      </c>
      <c r="B32" s="41">
        <v>400000.0</v>
      </c>
      <c r="G32" s="10" t="s">
        <v>178</v>
      </c>
      <c r="H32" s="41">
        <v>2000.0</v>
      </c>
      <c r="J32" s="10" t="s">
        <v>166</v>
      </c>
      <c r="K32" s="16">
        <f>K31*0.857</f>
        <v>3645.1638</v>
      </c>
    </row>
    <row r="33">
      <c r="A33" s="10" t="s">
        <v>173</v>
      </c>
      <c r="B33" s="16">
        <f>SUM(B27:B32)</f>
        <v>10040000</v>
      </c>
      <c r="G33" s="10" t="s">
        <v>179</v>
      </c>
      <c r="H33" s="16">
        <f>SUM(H27:H32)</f>
        <v>41850</v>
      </c>
    </row>
    <row r="35">
      <c r="J35" s="3" t="s">
        <v>180</v>
      </c>
      <c r="K35" s="3"/>
      <c r="L35" s="3"/>
      <c r="M35" s="3"/>
      <c r="N35" s="3"/>
      <c r="O35" s="3"/>
    </row>
    <row r="36">
      <c r="J36" s="62" t="s">
        <v>181</v>
      </c>
      <c r="K36" s="3"/>
      <c r="L36" s="3"/>
      <c r="M36" s="3"/>
      <c r="N36" s="3"/>
      <c r="O36" s="3"/>
    </row>
    <row r="37">
      <c r="J37" s="3" t="s">
        <v>182</v>
      </c>
      <c r="K37" s="3" t="s">
        <v>183</v>
      </c>
      <c r="L37" s="3" t="s">
        <v>184</v>
      </c>
      <c r="M37" s="3" t="s">
        <v>185</v>
      </c>
      <c r="N37" s="3" t="s">
        <v>186</v>
      </c>
      <c r="O37" s="3" t="s">
        <v>187</v>
      </c>
    </row>
    <row r="38">
      <c r="J38" s="3" t="s">
        <v>21</v>
      </c>
      <c r="K38" s="9">
        <v>11.7</v>
      </c>
      <c r="L38" s="9">
        <f t="shared" ref="L38:L41" si="1">K38/100</f>
        <v>0.117</v>
      </c>
      <c r="M38" s="9">
        <v>1.1664</v>
      </c>
      <c r="N38" s="67">
        <f>((L38*M38)+(L39*M39)+(L40*M40)+(L41*M41))/L42</f>
        <v>1.167381002</v>
      </c>
      <c r="O38" s="67">
        <f>1/N38</f>
        <v>0.8566183603</v>
      </c>
    </row>
    <row r="39">
      <c r="J39" s="3" t="s">
        <v>20</v>
      </c>
      <c r="K39" s="9">
        <v>4.2</v>
      </c>
      <c r="L39" s="9">
        <f t="shared" si="1"/>
        <v>0.042</v>
      </c>
      <c r="M39" s="9">
        <v>1.1703</v>
      </c>
      <c r="N39" s="3"/>
      <c r="O39" s="68"/>
    </row>
    <row r="40">
      <c r="J40" s="3" t="s">
        <v>188</v>
      </c>
      <c r="K40" s="9">
        <v>0.072</v>
      </c>
      <c r="L40" s="9">
        <f t="shared" si="1"/>
        <v>0.00072</v>
      </c>
      <c r="M40" s="9">
        <v>1.1762</v>
      </c>
      <c r="N40" s="3"/>
      <c r="O40" s="68"/>
    </row>
    <row r="41">
      <c r="J41" s="3" t="s">
        <v>22</v>
      </c>
      <c r="K41" s="9">
        <v>0.072</v>
      </c>
      <c r="L41" s="9">
        <f t="shared" si="1"/>
        <v>0.00072</v>
      </c>
      <c r="M41" s="9">
        <v>1.1477</v>
      </c>
      <c r="N41" s="3"/>
      <c r="O41" s="68"/>
    </row>
    <row r="42">
      <c r="J42" s="69" t="s">
        <v>189</v>
      </c>
      <c r="K42" s="70"/>
      <c r="L42" s="70">
        <f>SUM(L38:L41)</f>
        <v>0.16044</v>
      </c>
      <c r="M42" s="3"/>
      <c r="N42" s="3"/>
      <c r="O42" s="68"/>
    </row>
    <row r="43">
      <c r="J43" s="3"/>
      <c r="K43" s="3"/>
      <c r="L43" s="3"/>
      <c r="M43" s="3"/>
      <c r="N43" s="3"/>
      <c r="O43" s="68"/>
    </row>
    <row r="44">
      <c r="J44" s="3" t="s">
        <v>190</v>
      </c>
      <c r="K44" s="3"/>
      <c r="L44" s="3"/>
      <c r="M44" s="3"/>
      <c r="N44" s="3"/>
      <c r="O44" s="68"/>
    </row>
    <row r="45">
      <c r="J45" s="3" t="s">
        <v>21</v>
      </c>
      <c r="K45" s="9">
        <v>18.13</v>
      </c>
      <c r="L45" s="9">
        <f t="shared" ref="L45:L48" si="2">K45/100</f>
        <v>0.1813</v>
      </c>
      <c r="M45" s="9">
        <v>1.1664</v>
      </c>
      <c r="N45" s="67">
        <f>((L45*M45)+(L46*M46)+(L47*M47)+(L48*M48))/L49</f>
        <v>1.167091113</v>
      </c>
      <c r="O45" s="67">
        <f>1/N45</f>
        <v>0.8568311324</v>
      </c>
    </row>
    <row r="46">
      <c r="J46" s="3" t="s">
        <v>20</v>
      </c>
      <c r="K46" s="9">
        <v>5.16</v>
      </c>
      <c r="L46" s="9">
        <f t="shared" si="2"/>
        <v>0.0516</v>
      </c>
      <c r="M46" s="9">
        <v>1.1703</v>
      </c>
      <c r="N46" s="3"/>
      <c r="O46" s="3"/>
    </row>
    <row r="47">
      <c r="J47" s="3" t="s">
        <v>188</v>
      </c>
      <c r="K47" s="9">
        <v>0.09</v>
      </c>
      <c r="L47" s="9">
        <f t="shared" si="2"/>
        <v>0.0009</v>
      </c>
      <c r="M47" s="9">
        <v>1.1762</v>
      </c>
      <c r="N47" s="3"/>
      <c r="O47" s="3"/>
    </row>
    <row r="48">
      <c r="J48" s="3" t="s">
        <v>22</v>
      </c>
      <c r="K48" s="9">
        <v>0.25</v>
      </c>
      <c r="L48" s="9">
        <f t="shared" si="2"/>
        <v>0.0025</v>
      </c>
      <c r="M48" s="9">
        <v>1.1477</v>
      </c>
      <c r="N48" s="3"/>
      <c r="O48" s="3"/>
    </row>
    <row r="49">
      <c r="J49" s="71" t="s">
        <v>189</v>
      </c>
      <c r="K49" s="72"/>
      <c r="L49" s="72">
        <f>SUM(L45:L48)</f>
        <v>0.2363</v>
      </c>
    </row>
  </sheetData>
  <mergeCells count="5">
    <mergeCell ref="A10:B10"/>
    <mergeCell ref="D10:E10"/>
    <mergeCell ref="G10:H10"/>
    <mergeCell ref="J10:K10"/>
    <mergeCell ref="M10:N10"/>
  </mergeCells>
  <hyperlinks>
    <hyperlink r:id="rId1" ref="A3"/>
    <hyperlink r:id="rId2" ref="A8"/>
    <hyperlink r:id="rId3" ref="A9"/>
    <hyperlink r:id="rId4" ref="O11"/>
    <hyperlink r:id="rId5" ref="O12"/>
    <hyperlink r:id="rId6" ref="J36"/>
  </hyperlinks>
  <drawing r:id="rId7"/>
</worksheet>
</file>