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alexsmith/Documents/"/>
    </mc:Choice>
  </mc:AlternateContent>
  <xr:revisionPtr revIDLastSave="0" documentId="8_{D5B7BDA3-6894-9B42-8E2F-E7C07993903B}" xr6:coauthVersionLast="47" xr6:coauthVersionMax="47" xr10:uidLastSave="{00000000-0000-0000-0000-000000000000}"/>
  <bookViews>
    <workbookView xWindow="-35420" yWindow="-4160" windowWidth="27760" windowHeight="17500" xr2:uid="{00000000-000D-0000-FFFF-FFFF00000000}"/>
  </bookViews>
  <sheets>
    <sheet name="Total EVs and CO2 benefits" sheetId="1" r:id="rId1"/>
    <sheet name="New Range" sheetId="2" r:id="rId2"/>
    <sheet name="Twin Metals" sheetId="3" r:id="rId3"/>
    <sheet name="Not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2" i="3" l="1"/>
  <c r="Z42" i="3"/>
  <c r="Y42" i="3"/>
  <c r="X42" i="3"/>
  <c r="X45" i="3" s="1"/>
  <c r="X48" i="3" s="1"/>
  <c r="W42" i="3"/>
  <c r="V42" i="3"/>
  <c r="U42" i="3"/>
  <c r="U45" i="3" s="1"/>
  <c r="U48" i="3" s="1"/>
  <c r="T42" i="3"/>
  <c r="T45" i="3" s="1"/>
  <c r="T48" i="3" s="1"/>
  <c r="S42" i="3"/>
  <c r="R42" i="3"/>
  <c r="Q42" i="3"/>
  <c r="P42" i="3"/>
  <c r="P45" i="3" s="1"/>
  <c r="P48" i="3" s="1"/>
  <c r="O42" i="3"/>
  <c r="N42" i="3"/>
  <c r="M42" i="3"/>
  <c r="M45" i="3" s="1"/>
  <c r="M48" i="3" s="1"/>
  <c r="L42" i="3"/>
  <c r="L45" i="3" s="1"/>
  <c r="L48" i="3" s="1"/>
  <c r="K42" i="3"/>
  <c r="J42" i="3"/>
  <c r="I42" i="3"/>
  <c r="H42" i="3"/>
  <c r="H45" i="3" s="1"/>
  <c r="H48" i="3" s="1"/>
  <c r="G42" i="3"/>
  <c r="F42" i="3"/>
  <c r="E42" i="3"/>
  <c r="E45" i="3" s="1"/>
  <c r="E48" i="3" s="1"/>
  <c r="D42" i="3"/>
  <c r="D45" i="3" s="1"/>
  <c r="D48" i="3" s="1"/>
  <c r="C42" i="3"/>
  <c r="AA41" i="3"/>
  <c r="AA44" i="3" s="1"/>
  <c r="AA47" i="3" s="1"/>
  <c r="Z41" i="3"/>
  <c r="Y41" i="3"/>
  <c r="X41" i="3"/>
  <c r="X44" i="3" s="1"/>
  <c r="X47" i="3" s="1"/>
  <c r="W41" i="3"/>
  <c r="V41" i="3"/>
  <c r="U41" i="3"/>
  <c r="U44" i="3" s="1"/>
  <c r="U47" i="3" s="1"/>
  <c r="T41" i="3"/>
  <c r="S41" i="3"/>
  <c r="S44" i="3" s="1"/>
  <c r="S47" i="3" s="1"/>
  <c r="R41" i="3"/>
  <c r="Q41" i="3"/>
  <c r="P41" i="3"/>
  <c r="P44" i="3" s="1"/>
  <c r="P47" i="3" s="1"/>
  <c r="O41" i="3"/>
  <c r="N41" i="3"/>
  <c r="M41" i="3"/>
  <c r="M44" i="3" s="1"/>
  <c r="M47" i="3" s="1"/>
  <c r="L41" i="3"/>
  <c r="K41" i="3"/>
  <c r="K44" i="3" s="1"/>
  <c r="K47" i="3" s="1"/>
  <c r="J41" i="3"/>
  <c r="I41" i="3"/>
  <c r="H41" i="3"/>
  <c r="H44" i="3" s="1"/>
  <c r="H47" i="3" s="1"/>
  <c r="G41" i="3"/>
  <c r="F41" i="3"/>
  <c r="E41" i="3"/>
  <c r="E44" i="3" s="1"/>
  <c r="E47" i="3" s="1"/>
  <c r="D41" i="3"/>
  <c r="C41" i="3"/>
  <c r="C44" i="3" s="1"/>
  <c r="C47" i="3" s="1"/>
  <c r="AA40" i="3"/>
  <c r="AA43" i="3" s="1"/>
  <c r="AA46" i="3" s="1"/>
  <c r="Z40" i="3"/>
  <c r="Y40" i="3"/>
  <c r="X40" i="3"/>
  <c r="X43" i="3" s="1"/>
  <c r="X46" i="3" s="1"/>
  <c r="W40" i="3"/>
  <c r="V40" i="3"/>
  <c r="U40" i="3"/>
  <c r="T40" i="3"/>
  <c r="S40" i="3"/>
  <c r="S43" i="3" s="1"/>
  <c r="S46" i="3" s="1"/>
  <c r="R40" i="3"/>
  <c r="Q40" i="3"/>
  <c r="P40" i="3"/>
  <c r="P43" i="3" s="1"/>
  <c r="P46" i="3" s="1"/>
  <c r="O40" i="3"/>
  <c r="N40" i="3"/>
  <c r="M40" i="3"/>
  <c r="L40" i="3"/>
  <c r="K40" i="3"/>
  <c r="K43" i="3" s="1"/>
  <c r="K46" i="3" s="1"/>
  <c r="J40" i="3"/>
  <c r="I40" i="3"/>
  <c r="H40" i="3"/>
  <c r="H43" i="3" s="1"/>
  <c r="H46" i="3" s="1"/>
  <c r="G40" i="3"/>
  <c r="G43" i="3" s="1"/>
  <c r="G46" i="3" s="1"/>
  <c r="F40" i="3"/>
  <c r="E40" i="3"/>
  <c r="D40" i="3"/>
  <c r="C40" i="3"/>
  <c r="C43" i="3" s="1"/>
  <c r="C46" i="3" s="1"/>
  <c r="AA36" i="3"/>
  <c r="AA45" i="3" s="1"/>
  <c r="AA48" i="3" s="1"/>
  <c r="X36" i="3"/>
  <c r="S36" i="3"/>
  <c r="S45" i="3" s="1"/>
  <c r="S48" i="3" s="1"/>
  <c r="P36" i="3"/>
  <c r="K36" i="3"/>
  <c r="K45" i="3" s="1"/>
  <c r="K48" i="3" s="1"/>
  <c r="H36" i="3"/>
  <c r="C36" i="3"/>
  <c r="C45" i="3" s="1"/>
  <c r="C48" i="3" s="1"/>
  <c r="AA35" i="3"/>
  <c r="Z35" i="3"/>
  <c r="Z36" i="3" s="1"/>
  <c r="Y35" i="3"/>
  <c r="Y36" i="3" s="1"/>
  <c r="Y43" i="3" s="1"/>
  <c r="Y46" i="3" s="1"/>
  <c r="X35" i="3"/>
  <c r="W35" i="3"/>
  <c r="W36" i="3" s="1"/>
  <c r="V35" i="3"/>
  <c r="V36" i="3" s="1"/>
  <c r="U35" i="3"/>
  <c r="U36" i="3" s="1"/>
  <c r="U43" i="3" s="1"/>
  <c r="U46" i="3" s="1"/>
  <c r="T35" i="3"/>
  <c r="T36" i="3" s="1"/>
  <c r="T44" i="3" s="1"/>
  <c r="T47" i="3" s="1"/>
  <c r="S35" i="3"/>
  <c r="R35" i="3"/>
  <c r="R36" i="3" s="1"/>
  <c r="Q35" i="3"/>
  <c r="Q36" i="3" s="1"/>
  <c r="Q43" i="3" s="1"/>
  <c r="Q46" i="3" s="1"/>
  <c r="P35" i="3"/>
  <c r="O35" i="3"/>
  <c r="O36" i="3" s="1"/>
  <c r="N35" i="3"/>
  <c r="N36" i="3" s="1"/>
  <c r="M35" i="3"/>
  <c r="M36" i="3" s="1"/>
  <c r="M43" i="3" s="1"/>
  <c r="M46" i="3" s="1"/>
  <c r="L35" i="3"/>
  <c r="L36" i="3" s="1"/>
  <c r="L44" i="3" s="1"/>
  <c r="L47" i="3" s="1"/>
  <c r="K35" i="3"/>
  <c r="J35" i="3"/>
  <c r="J36" i="3" s="1"/>
  <c r="I35" i="3"/>
  <c r="I36" i="3" s="1"/>
  <c r="I43" i="3" s="1"/>
  <c r="I46" i="3" s="1"/>
  <c r="H35" i="3"/>
  <c r="G35" i="3"/>
  <c r="G36" i="3" s="1"/>
  <c r="F35" i="3"/>
  <c r="F36" i="3" s="1"/>
  <c r="E35" i="3"/>
  <c r="E36" i="3" s="1"/>
  <c r="E43" i="3" s="1"/>
  <c r="E46" i="3" s="1"/>
  <c r="D35" i="3"/>
  <c r="D36" i="3" s="1"/>
  <c r="D44" i="3" s="1"/>
  <c r="D47" i="3" s="1"/>
  <c r="C35" i="3"/>
  <c r="B27" i="3"/>
  <c r="B28" i="3" s="1"/>
  <c r="B22" i="3"/>
  <c r="B23" i="3" s="1"/>
  <c r="B17" i="3"/>
  <c r="B18" i="3" s="1"/>
  <c r="E16" i="3"/>
  <c r="E15" i="3"/>
  <c r="U34" i="2"/>
  <c r="R34" i="2"/>
  <c r="Q34" i="2"/>
  <c r="P34" i="2"/>
  <c r="M34" i="2"/>
  <c r="J34" i="2"/>
  <c r="I34" i="2"/>
  <c r="H34" i="2"/>
  <c r="E34" i="2"/>
  <c r="V33" i="2"/>
  <c r="U33" i="2"/>
  <c r="R33" i="2"/>
  <c r="O33" i="2"/>
  <c r="N33" i="2"/>
  <c r="M33" i="2"/>
  <c r="J33" i="2"/>
  <c r="G33" i="2"/>
  <c r="F33" i="2"/>
  <c r="E33" i="2"/>
  <c r="T32" i="2"/>
  <c r="S32" i="2"/>
  <c r="R32" i="2"/>
  <c r="O32" i="2"/>
  <c r="L32" i="2"/>
  <c r="K32" i="2"/>
  <c r="J32" i="2"/>
  <c r="G32" i="2"/>
  <c r="D32" i="2"/>
  <c r="C32" i="2"/>
  <c r="U29" i="2"/>
  <c r="T29" i="2"/>
  <c r="T34" i="2" s="1"/>
  <c r="R29" i="2"/>
  <c r="Q29" i="2"/>
  <c r="P29" i="2"/>
  <c r="O29" i="2"/>
  <c r="O34" i="2" s="1"/>
  <c r="M29" i="2"/>
  <c r="L29" i="2"/>
  <c r="L34" i="2" s="1"/>
  <c r="J29" i="2"/>
  <c r="I29" i="2"/>
  <c r="H29" i="2"/>
  <c r="G29" i="2"/>
  <c r="G34" i="2" s="1"/>
  <c r="E29" i="2"/>
  <c r="D29" i="2"/>
  <c r="D34" i="2" s="1"/>
  <c r="V28" i="2"/>
  <c r="U28" i="2"/>
  <c r="T28" i="2"/>
  <c r="T33" i="2" s="1"/>
  <c r="R28" i="2"/>
  <c r="Q28" i="2"/>
  <c r="Q33" i="2" s="1"/>
  <c r="O28" i="2"/>
  <c r="N28" i="2"/>
  <c r="M28" i="2"/>
  <c r="L28" i="2"/>
  <c r="L33" i="2" s="1"/>
  <c r="J28" i="2"/>
  <c r="I28" i="2"/>
  <c r="I33" i="2" s="1"/>
  <c r="G28" i="2"/>
  <c r="F28" i="2"/>
  <c r="E28" i="2"/>
  <c r="D28" i="2"/>
  <c r="D33" i="2" s="1"/>
  <c r="V27" i="2"/>
  <c r="V32" i="2" s="1"/>
  <c r="T27" i="2"/>
  <c r="S27" i="2"/>
  <c r="R27" i="2"/>
  <c r="Q27" i="2"/>
  <c r="Q32" i="2" s="1"/>
  <c r="O27" i="2"/>
  <c r="N27" i="2"/>
  <c r="N32" i="2" s="1"/>
  <c r="L27" i="2"/>
  <c r="K27" i="2"/>
  <c r="J27" i="2"/>
  <c r="I27" i="2"/>
  <c r="I32" i="2" s="1"/>
  <c r="G27" i="2"/>
  <c r="F27" i="2"/>
  <c r="F32" i="2" s="1"/>
  <c r="D27" i="2"/>
  <c r="C27" i="2"/>
  <c r="V23" i="2"/>
  <c r="V29" i="2" s="1"/>
  <c r="V34" i="2" s="1"/>
  <c r="U23" i="2"/>
  <c r="T23" i="2"/>
  <c r="S23" i="2"/>
  <c r="S29" i="2" s="1"/>
  <c r="S34" i="2" s="1"/>
  <c r="R23" i="2"/>
  <c r="Q23" i="2"/>
  <c r="P23" i="2"/>
  <c r="O23" i="2"/>
  <c r="N23" i="2"/>
  <c r="N29" i="2" s="1"/>
  <c r="N34" i="2" s="1"/>
  <c r="M23" i="2"/>
  <c r="L23" i="2"/>
  <c r="K23" i="2"/>
  <c r="K29" i="2" s="1"/>
  <c r="K34" i="2" s="1"/>
  <c r="J23" i="2"/>
  <c r="I23" i="2"/>
  <c r="H23" i="2"/>
  <c r="G23" i="2"/>
  <c r="F23" i="2"/>
  <c r="F29" i="2" s="1"/>
  <c r="F34" i="2" s="1"/>
  <c r="E23" i="2"/>
  <c r="D23" i="2"/>
  <c r="C23" i="2"/>
  <c r="C29" i="2" s="1"/>
  <c r="V22" i="2"/>
  <c r="U22" i="2"/>
  <c r="T22" i="2"/>
  <c r="S22" i="2"/>
  <c r="S28" i="2" s="1"/>
  <c r="S33" i="2" s="1"/>
  <c r="R22" i="2"/>
  <c r="Q22" i="2"/>
  <c r="P22" i="2"/>
  <c r="P28" i="2" s="1"/>
  <c r="P33" i="2" s="1"/>
  <c r="O22" i="2"/>
  <c r="N22" i="2"/>
  <c r="M22" i="2"/>
  <c r="L22" i="2"/>
  <c r="K22" i="2"/>
  <c r="K28" i="2" s="1"/>
  <c r="K33" i="2" s="1"/>
  <c r="J22" i="2"/>
  <c r="I22" i="2"/>
  <c r="H22" i="2"/>
  <c r="H28" i="2" s="1"/>
  <c r="H33" i="2" s="1"/>
  <c r="G22" i="2"/>
  <c r="F22" i="2"/>
  <c r="E22" i="2"/>
  <c r="D22" i="2"/>
  <c r="C22" i="2"/>
  <c r="C28" i="2" s="1"/>
  <c r="V21" i="2"/>
  <c r="U21" i="2"/>
  <c r="U27" i="2" s="1"/>
  <c r="U32" i="2" s="1"/>
  <c r="T21" i="2"/>
  <c r="S21" i="2"/>
  <c r="R21" i="2"/>
  <c r="Q21" i="2"/>
  <c r="P21" i="2"/>
  <c r="P27" i="2" s="1"/>
  <c r="P32" i="2" s="1"/>
  <c r="O21" i="2"/>
  <c r="N21" i="2"/>
  <c r="M21" i="2"/>
  <c r="M27" i="2" s="1"/>
  <c r="M32" i="2" s="1"/>
  <c r="L21" i="2"/>
  <c r="K21" i="2"/>
  <c r="J21" i="2"/>
  <c r="I21" i="2"/>
  <c r="H21" i="2"/>
  <c r="H27" i="2" s="1"/>
  <c r="H32" i="2" s="1"/>
  <c r="G21" i="2"/>
  <c r="F21" i="2"/>
  <c r="E21" i="2"/>
  <c r="B21" i="2" s="1"/>
  <c r="D21" i="2"/>
  <c r="C21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7" i="2"/>
  <c r="B16" i="2"/>
  <c r="B15" i="2"/>
  <c r="B18" i="2" s="1"/>
  <c r="B19" i="2" s="1"/>
  <c r="U36" i="1"/>
  <c r="T36" i="1"/>
  <c r="O36" i="1"/>
  <c r="L36" i="1"/>
  <c r="D36" i="1"/>
  <c r="U35" i="1"/>
  <c r="T35" i="1"/>
  <c r="S35" i="1"/>
  <c r="R35" i="1"/>
  <c r="Q35" i="1"/>
  <c r="P35" i="1"/>
  <c r="O35" i="1"/>
  <c r="N35" i="1"/>
  <c r="M35" i="1"/>
  <c r="B28" i="1"/>
  <c r="B29" i="1" s="1"/>
  <c r="U18" i="1"/>
  <c r="T18" i="1"/>
  <c r="S18" i="1"/>
  <c r="S36" i="1" s="1"/>
  <c r="R18" i="1"/>
  <c r="R36" i="1" s="1"/>
  <c r="Q18" i="1"/>
  <c r="Q36" i="1" s="1"/>
  <c r="P18" i="1"/>
  <c r="P36" i="1" s="1"/>
  <c r="O18" i="1"/>
  <c r="N18" i="1"/>
  <c r="N36" i="1" s="1"/>
  <c r="M18" i="1"/>
  <c r="M36" i="1" s="1"/>
  <c r="L18" i="1"/>
  <c r="K18" i="1"/>
  <c r="K36" i="1" s="1"/>
  <c r="J18" i="1"/>
  <c r="J36" i="1" s="1"/>
  <c r="I18" i="1"/>
  <c r="I36" i="1" s="1"/>
  <c r="H18" i="1"/>
  <c r="H36" i="1" s="1"/>
  <c r="G18" i="1"/>
  <c r="G36" i="1" s="1"/>
  <c r="F18" i="1"/>
  <c r="F36" i="1" s="1"/>
  <c r="E18" i="1"/>
  <c r="E36" i="1" s="1"/>
  <c r="D18" i="1"/>
  <c r="C18" i="1"/>
  <c r="C36" i="1" s="1"/>
  <c r="B18" i="1"/>
  <c r="B21" i="1" s="1"/>
  <c r="B13" i="1"/>
  <c r="B12" i="1"/>
  <c r="B11" i="1"/>
  <c r="N44" i="3" l="1"/>
  <c r="N47" i="3" s="1"/>
  <c r="G44" i="3"/>
  <c r="G47" i="3" s="1"/>
  <c r="W44" i="3"/>
  <c r="W47" i="3" s="1"/>
  <c r="F45" i="3"/>
  <c r="F48" i="3" s="1"/>
  <c r="N45" i="3"/>
  <c r="N48" i="3" s="1"/>
  <c r="V45" i="3"/>
  <c r="V48" i="3" s="1"/>
  <c r="V44" i="3"/>
  <c r="V47" i="3" s="1"/>
  <c r="O43" i="3"/>
  <c r="O46" i="3" s="1"/>
  <c r="W43" i="3"/>
  <c r="W46" i="3" s="1"/>
  <c r="F44" i="3"/>
  <c r="F47" i="3" s="1"/>
  <c r="O44" i="3"/>
  <c r="O47" i="3" s="1"/>
  <c r="W45" i="3"/>
  <c r="W48" i="3" s="1"/>
  <c r="J43" i="3"/>
  <c r="J46" i="3" s="1"/>
  <c r="R43" i="3"/>
  <c r="R46" i="3" s="1"/>
  <c r="Z43" i="3"/>
  <c r="Z46" i="3" s="1"/>
  <c r="I44" i="3"/>
  <c r="I47" i="3" s="1"/>
  <c r="Q44" i="3"/>
  <c r="Q47" i="3" s="1"/>
  <c r="Y44" i="3"/>
  <c r="Y47" i="3" s="1"/>
  <c r="N43" i="3"/>
  <c r="N46" i="3" s="1"/>
  <c r="G45" i="3"/>
  <c r="G48" i="3" s="1"/>
  <c r="J44" i="3"/>
  <c r="J47" i="3" s="1"/>
  <c r="R44" i="3"/>
  <c r="R47" i="3" s="1"/>
  <c r="Z44" i="3"/>
  <c r="Z47" i="3" s="1"/>
  <c r="I45" i="3"/>
  <c r="I48" i="3" s="1"/>
  <c r="B48" i="3" s="1"/>
  <c r="Q45" i="3"/>
  <c r="Q48" i="3" s="1"/>
  <c r="Y45" i="3"/>
  <c r="Y48" i="3" s="1"/>
  <c r="C34" i="2"/>
  <c r="B34" i="2" s="1"/>
  <c r="B29" i="2"/>
  <c r="O45" i="3"/>
  <c r="O48" i="3" s="1"/>
  <c r="D43" i="3"/>
  <c r="D46" i="3" s="1"/>
  <c r="L43" i="3"/>
  <c r="L46" i="3" s="1"/>
  <c r="T43" i="3"/>
  <c r="T46" i="3" s="1"/>
  <c r="J45" i="3"/>
  <c r="J48" i="3" s="1"/>
  <c r="R45" i="3"/>
  <c r="R48" i="3" s="1"/>
  <c r="Z45" i="3"/>
  <c r="Z48" i="3" s="1"/>
  <c r="F43" i="3"/>
  <c r="F46" i="3" s="1"/>
  <c r="V43" i="3"/>
  <c r="V46" i="3" s="1"/>
  <c r="C33" i="2"/>
  <c r="B33" i="2" s="1"/>
  <c r="B28" i="2"/>
  <c r="B20" i="1"/>
  <c r="B36" i="1"/>
  <c r="B37" i="1" s="1"/>
  <c r="B38" i="1" s="1"/>
  <c r="B23" i="2"/>
  <c r="E27" i="2"/>
  <c r="B22" i="2"/>
  <c r="B27" i="2" l="1"/>
  <c r="E32" i="2"/>
  <c r="B32" i="2" s="1"/>
</calcChain>
</file>

<file path=xl/sharedStrings.xml><?xml version="1.0" encoding="utf-8"?>
<sst xmlns="http://schemas.openxmlformats.org/spreadsheetml/2006/main" count="318" uniqueCount="116">
  <si>
    <t>Number of EVs potentially produced:</t>
  </si>
  <si>
    <t>NorthMet (New Range)</t>
  </si>
  <si>
    <t>Number of Batteries from....</t>
  </si>
  <si>
    <t>Lifetime Total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</si>
  <si>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</si>
  <si>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</si>
  <si>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</si>
  <si>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</si>
  <si>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</si>
  <si>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</si>
  <si>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</si>
  <si>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</si>
  <si>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</si>
  <si>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</si>
  <si>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</si>
  <si>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</si>
  <si>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</si>
  <si>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</si>
  <si>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</si>
  <si>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</si>
  <si>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</si>
  <si>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</si>
  <si>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</si>
  <si>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</si>
  <si>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Copper</t>
  </si>
  <si>
    <t>Nickel</t>
  </si>
  <si>
    <t>Cobalt</t>
  </si>
  <si>
    <t>Maturi (Twin Metals Minnesota)</t>
  </si>
  <si>
    <t>First 20 years Total</t>
  </si>
  <si>
    <t>Batteries from Copper</t>
  </si>
  <si>
    <t xml:space="preserve">Batteries from Nickel </t>
  </si>
  <si>
    <t>Batteries from Cobalt</t>
  </si>
  <si>
    <t>Examining first 20 years of production only for Twin Metals</t>
  </si>
  <si>
    <t>Total (sum of both mines)</t>
  </si>
  <si>
    <t>Using nickel numbers only, assuming 25% of mine production supports EV battery manufacturing</t>
  </si>
  <si>
    <t>Average batteries per year</t>
  </si>
  <si>
    <t>Total batteries in first 20 yrs:</t>
  </si>
  <si>
    <t>Emissions benefit of EV production</t>
  </si>
  <si>
    <t>Assumed EV lifetime (years):</t>
  </si>
  <si>
    <t>Assumed lifetime mileage:</t>
  </si>
  <si>
    <t>Assumed life-cycle CO2e grams per mile, electric vehicle with NMC811 battery:</t>
  </si>
  <si>
    <t>Assumed life-cycle CO2e grams per mile, gasoline vehicle:</t>
  </si>
  <si>
    <t>Difference, grams CO2e per mile:</t>
  </si>
  <si>
    <t>Full life-cycle benefit of EV relative to gasoline vehicle (tons CO2e):</t>
  </si>
  <si>
    <t>We calculate full life-cycle CO2 benefit of EVs produced in the first 10 years of mine operation</t>
  </si>
  <si>
    <t>For EVs produced in the last 9 years of mine operation, we scale the emissions benefit to reflect only the benefit realized during the period of study</t>
  </si>
  <si>
    <t>CO2 benefit of EV relative to gasoline vehicle (tons CO2e), for period of study for cohort in year X:</t>
  </si>
  <si>
    <t>Emissions benefit (tons CO2e)</t>
  </si>
  <si>
    <t>Total emissions benefit (tons CO2e)</t>
  </si>
  <si>
    <t>Total emissions benefit (millions of tons CO2e)</t>
  </si>
  <si>
    <t>https://www.sedarplus.ca/csa-party/records/document.html?id=b9565af822c5def5ad8e9edf872d37353ce5dd0f06c06bd32133a1159af816ea</t>
  </si>
  <si>
    <t>***data taken from above source from pg 244; Table 22-13</t>
  </si>
  <si>
    <t>(kg)</t>
  </si>
  <si>
    <t>NMC811 (60 kWh)</t>
  </si>
  <si>
    <t>Summary</t>
  </si>
  <si>
    <t>Lithium</t>
  </si>
  <si>
    <t>Mine lifetime = 20 years</t>
  </si>
  <si>
    <t>Mine produces copper, nickel, cobalt (also platinum, palladium, gold, and silver)</t>
  </si>
  <si>
    <t xml:space="preserve">Number of NMC811 batteries produced over mine lifetime = </t>
  </si>
  <si>
    <t>Manganese</t>
  </si>
  <si>
    <t>Limiting factor = cobalt</t>
  </si>
  <si>
    <t>Graphite</t>
  </si>
  <si>
    <t>Aluminum</t>
  </si>
  <si>
    <t>Phosphate</t>
  </si>
  <si>
    <t>***Note: NorthMet will not produce lithium, manganese, graphite, aluminum, or phosphate</t>
  </si>
  <si>
    <t>Commodity (thousand lbs)</t>
  </si>
  <si>
    <t>Ratio of Copper to nickel</t>
  </si>
  <si>
    <t>Average</t>
  </si>
  <si>
    <t>Commodity (lbs)</t>
  </si>
  <si>
    <t>Commodity (kgs)</t>
  </si>
  <si>
    <t>https://www.twin-metals.com/wp-content/uploads/2012/09/TMM-Project-PFS-Technical-Report.pdf</t>
  </si>
  <si>
    <t xml:space="preserve">file:///C:/Users/pcook/Downloads/https___www.twin-metals.com_wp-content_uploads_2020_05_TMM-Mine-Plan-of-Operations_2019-1218-R%20(1).pdf </t>
  </si>
  <si>
    <t>(for mine lifetime)</t>
  </si>
  <si>
    <t>https://drive.google.com/file/d/1l-GzAY9I8lIgNK_QFWQu2AKdNzW8vXmF/view?usp=drive_link</t>
  </si>
  <si>
    <t>(for production figures)</t>
  </si>
  <si>
    <t>Mine lifetime = 25 years</t>
  </si>
  <si>
    <t>Mine produces copper, nickel, and cobalt (also gold, lead, platinum, palladium, silver)</t>
  </si>
  <si>
    <t xml:space="preserve">***Note: Twin Metals will not produce lithium, manganese, graphite, aluminum, or phopshate </t>
  </si>
  <si>
    <t>Copper (lbs/year)</t>
  </si>
  <si>
    <t>Ratio of copper to nickel per year</t>
  </si>
  <si>
    <t>Copper (kgs/year)</t>
  </si>
  <si>
    <t>Ratio of copper to nickel total</t>
  </si>
  <si>
    <t>Total Copper Production (kgs)</t>
  </si>
  <si>
    <t>Nickel (lbs/year)</t>
  </si>
  <si>
    <t>Nickel (kgs/year)</t>
  </si>
  <si>
    <t>Total Nickel Production</t>
  </si>
  <si>
    <t>Batteries from Nickel</t>
  </si>
  <si>
    <t>Cobalt (lbs/year)</t>
  </si>
  <si>
    <t>Cobalt (kgs/year)</t>
  </si>
  <si>
    <t>Total Cobalt Production</t>
  </si>
  <si>
    <t>REFERENCE ONLY:</t>
  </si>
  <si>
    <t>Commodity / Factor</t>
  </si>
  <si>
    <t>Year 21</t>
  </si>
  <si>
    <t>Year 22</t>
  </si>
  <si>
    <t>Year 23</t>
  </si>
  <si>
    <t>Year 24</t>
  </si>
  <si>
    <t>Year 25</t>
  </si>
  <si>
    <t>Total Production (million metric tonnes)</t>
  </si>
  <si>
    <t>Total Production (metric tonnes)</t>
  </si>
  <si>
    <t>Total Production (kgs)</t>
  </si>
  <si>
    <t>Copper Grade (%)</t>
  </si>
  <si>
    <t>Nickel Grade (%)</t>
  </si>
  <si>
    <t>Cobalt Grade (ppm)</t>
  </si>
  <si>
    <t>Copper Grade (decimal)</t>
  </si>
  <si>
    <t>Nickel Grade (decimal)</t>
  </si>
  <si>
    <t>Cobalt Grade (decimal)</t>
  </si>
  <si>
    <t>Copper Production (kgs)</t>
  </si>
  <si>
    <t>Nickel Production (kgs)</t>
  </si>
  <si>
    <t>Cobalt Production (kgs)</t>
  </si>
  <si>
    <t>New Range Copper Nickel = PolyMet Mining + Teck Resources joint venture (Glencore)</t>
  </si>
  <si>
    <t>&gt;&gt;&gt;</t>
  </si>
  <si>
    <t>New Range owns the NorthMet and Mesaba projects (Mesaba is still in feasibility stage and is not in scope)</t>
  </si>
  <si>
    <t>Talon Metals Corp owns the Tamarack Project</t>
  </si>
  <si>
    <t>Twin Metals Minnesota (Antofogasta) owns the Maturi project</t>
  </si>
  <si>
    <t>Canadian Technical Report Source</t>
  </si>
  <si>
    <t>https://www.sedarplus.ca/csa-party/viewInstance/view.html?id=0c11f8b7998bcd961d28f4a94b95a33db45079c000b6759c&amp;_timestamp=11681092310253837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</si>
</sst>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  <font>
      <i/>
      <sz val="10"/>
      <color theme="1"/>
      <name val="Arial"/>
      <family val="2"/>
      <scheme val="minor"/>
    </font>
    <font>
      <strike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sz val="10"/>
      <color rgb="FF1F1F1F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3" fontId="2" fillId="0" borderId="0" xfId="0" applyNumberFormat="1" applyFont="1"/>
    <xf numFmtId="0" fontId="1" fillId="3" borderId="0" xfId="0" applyFont="1" applyFill="1"/>
    <xf numFmtId="0" fontId="2" fillId="3" borderId="0" xfId="0" applyFont="1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4" borderId="0" xfId="0" applyFont="1" applyFill="1"/>
    <xf numFmtId="0" fontId="5" fillId="4" borderId="0" xfId="0" applyFont="1" applyFill="1"/>
    <xf numFmtId="0" fontId="2" fillId="4" borderId="0" xfId="0" applyFont="1" applyFill="1"/>
    <xf numFmtId="0" fontId="6" fillId="4" borderId="0" xfId="0" applyFont="1" applyFill="1"/>
    <xf numFmtId="0" fontId="2" fillId="0" borderId="0" xfId="0" applyFont="1" applyAlignment="1">
      <alignment horizontal="center"/>
    </xf>
    <xf numFmtId="3" fontId="1" fillId="3" borderId="0" xfId="0" applyNumberFormat="1" applyFont="1" applyFill="1"/>
    <xf numFmtId="3" fontId="2" fillId="0" borderId="0" xfId="0" applyNumberFormat="1" applyFont="1" applyAlignment="1">
      <alignment horizontal="center"/>
    </xf>
    <xf numFmtId="3" fontId="2" fillId="2" borderId="0" xfId="0" applyNumberFormat="1" applyFont="1" applyFill="1"/>
    <xf numFmtId="3" fontId="7" fillId="2" borderId="0" xfId="0" applyNumberFormat="1" applyFont="1" applyFill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2" fillId="4" borderId="0" xfId="0" applyNumberFormat="1" applyFont="1" applyFill="1"/>
    <xf numFmtId="3" fontId="6" fillId="3" borderId="0" xfId="0" applyNumberFormat="1" applyFont="1" applyFill="1"/>
    <xf numFmtId="0" fontId="9" fillId="0" borderId="0" xfId="0" applyFont="1"/>
    <xf numFmtId="3" fontId="1" fillId="0" borderId="0" xfId="0" applyNumberFormat="1" applyFont="1"/>
    <xf numFmtId="0" fontId="1" fillId="5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49</xdr:row>
      <xdr:rowOff>0</xdr:rowOff>
    </xdr:from>
    <xdr:ext cx="7458075" cy="96012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darplus.ca/csa-party/records/document.html?id=b9565af822c5def5ad8e9edf872d37353ce5dd0f06c06bd32133a1159af816e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l-GzAY9I8lIgNK_QFWQu2AKdNzW8vXmF/view?usp=drive_link" TargetMode="External"/><Relationship Id="rId1" Type="http://schemas.openxmlformats.org/officeDocument/2006/relationships/hyperlink" Target="https://www.twin-metals.com/wp-content/uploads/2012/09/TMM-Project-PFS-Technical-Repor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edarplus.ca/csa-party/viewInstance/view.html?id=0c11f8b7998bcd961d28f4a94b95a33db45079c000b6759c&amp;_timestamp=1168109231025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38"/>
  <sheetViews>
    <sheetView tabSelected="1" workbookViewId="0"/>
  </sheetViews>
  <sheetFormatPr baseColWidth="10" defaultColWidth="12.6640625" defaultRowHeight="15.75" customHeight="1" x14ac:dyDescent="0.15"/>
  <cols>
    <col min="1" max="1" width="73.33203125" customWidth="1"/>
    <col min="2" max="2" width="16.1640625" customWidth="1"/>
  </cols>
  <sheetData>
    <row r="1" spans="1:27" ht="15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3" spans="1:27" ht="15.75" customHeight="1" x14ac:dyDescent="0.1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/>
      <c r="X4" s="1"/>
      <c r="Y4" s="1"/>
      <c r="Z4" s="1"/>
      <c r="AA4" s="1"/>
    </row>
    <row r="5" spans="1:27" ht="15.75" customHeight="1" x14ac:dyDescent="0.15">
      <c r="A5" s="3" t="s">
        <v>24</v>
      </c>
      <c r="B5" s="4">
        <v>27082572.184799999</v>
      </c>
      <c r="C5" s="4">
        <v>1045302.7640000001</v>
      </c>
      <c r="D5" s="4">
        <v>1480683.0452000001</v>
      </c>
      <c r="E5" s="4">
        <v>1482497.4131999998</v>
      </c>
      <c r="F5" s="4">
        <v>1541555.0915999999</v>
      </c>
      <c r="G5" s="4">
        <v>1462834.2</v>
      </c>
      <c r="H5" s="4">
        <v>1472654.4668000001</v>
      </c>
      <c r="I5" s="4">
        <v>1452991.2535999999</v>
      </c>
      <c r="J5" s="4">
        <v>1423553.1328</v>
      </c>
      <c r="K5" s="4">
        <v>1428451.9264</v>
      </c>
      <c r="L5" s="4">
        <v>1408834.0723999999</v>
      </c>
      <c r="M5" s="4">
        <v>1413732.8659999999</v>
      </c>
      <c r="N5" s="4">
        <v>1462834.2</v>
      </c>
      <c r="O5" s="4">
        <v>1408834.0723999999</v>
      </c>
      <c r="P5" s="4">
        <v>1359846.1364</v>
      </c>
      <c r="Q5" s="4">
        <v>1306072.8048</v>
      </c>
      <c r="R5" s="4">
        <v>1169768.4087999999</v>
      </c>
      <c r="S5" s="4">
        <v>1179475.2776000001</v>
      </c>
      <c r="T5" s="4">
        <v>1296320.5767999999</v>
      </c>
      <c r="U5" s="4">
        <v>1350071.2288000002</v>
      </c>
      <c r="V5" s="4">
        <v>936259.24719999987</v>
      </c>
    </row>
    <row r="6" spans="1:27" ht="15.75" customHeight="1" x14ac:dyDescent="0.15">
      <c r="A6" s="3" t="s">
        <v>25</v>
      </c>
      <c r="B6" s="4">
        <v>2086523.1999999997</v>
      </c>
      <c r="C6" s="4">
        <v>73749.406974358979</v>
      </c>
      <c r="D6" s="4">
        <v>100453.18215384615</v>
      </c>
      <c r="E6" s="4">
        <v>114549.42584615384</v>
      </c>
      <c r="F6" s="4">
        <v>117817.61435897436</v>
      </c>
      <c r="G6" s="4">
        <v>105338.01907692307</v>
      </c>
      <c r="H6" s="4">
        <v>107117.49538461538</v>
      </c>
      <c r="I6" s="4">
        <v>118585.23158974358</v>
      </c>
      <c r="J6" s="4">
        <v>116945.32205128204</v>
      </c>
      <c r="K6" s="4">
        <v>109373.8248205128</v>
      </c>
      <c r="L6" s="4">
        <v>115189.10687179487</v>
      </c>
      <c r="M6" s="4">
        <v>117038.36656410257</v>
      </c>
      <c r="N6" s="4">
        <v>120399.59958974358</v>
      </c>
      <c r="O6" s="4">
        <v>122783.86523076922</v>
      </c>
      <c r="P6" s="4">
        <v>108094.46276923078</v>
      </c>
      <c r="Q6" s="4">
        <v>99290.125743589742</v>
      </c>
      <c r="R6" s="4">
        <v>77064.117743589755</v>
      </c>
      <c r="S6" s="4">
        <v>85868.454769230768</v>
      </c>
      <c r="T6" s="4">
        <v>99383.17025641026</v>
      </c>
      <c r="U6" s="4">
        <v>104454.0962051282</v>
      </c>
      <c r="V6" s="4">
        <v>73028.312000000005</v>
      </c>
    </row>
    <row r="7" spans="1:27" ht="15.75" customHeight="1" x14ac:dyDescent="0.15">
      <c r="A7" s="3" t="s">
        <v>26</v>
      </c>
      <c r="B7" s="4">
        <v>581323.50719999988</v>
      </c>
      <c r="C7" s="4">
        <v>24312.531200000001</v>
      </c>
      <c r="D7" s="4">
        <v>33112.216</v>
      </c>
      <c r="E7" s="4">
        <v>31388.5664</v>
      </c>
      <c r="F7" s="4">
        <v>32295.750400000001</v>
      </c>
      <c r="G7" s="4">
        <v>28848.4512</v>
      </c>
      <c r="H7" s="4">
        <v>29302.043199999996</v>
      </c>
      <c r="I7" s="4">
        <v>32477.187199999997</v>
      </c>
      <c r="J7" s="4">
        <v>32023.5952</v>
      </c>
      <c r="K7" s="4">
        <v>29937.071999999996</v>
      </c>
      <c r="L7" s="4">
        <v>31570.003199999999</v>
      </c>
      <c r="M7" s="4">
        <v>32114.313600000001</v>
      </c>
      <c r="N7" s="4">
        <v>33021.497600000002</v>
      </c>
      <c r="O7" s="4">
        <v>33656.526400000002</v>
      </c>
      <c r="P7" s="4">
        <v>29574.198400000001</v>
      </c>
      <c r="Q7" s="4">
        <v>27215.52</v>
      </c>
      <c r="R7" s="4">
        <v>21137.387200000001</v>
      </c>
      <c r="S7" s="4">
        <v>23496.065599999998</v>
      </c>
      <c r="T7" s="4">
        <v>27215.52</v>
      </c>
      <c r="U7" s="4">
        <v>28576.296000000002</v>
      </c>
      <c r="V7" s="4">
        <v>20048.7664</v>
      </c>
    </row>
    <row r="8" spans="1:27" ht="15.75" customHeight="1" x14ac:dyDescent="0.15">
      <c r="A8" s="3"/>
    </row>
    <row r="9" spans="1:27" ht="15.75" customHeight="1" x14ac:dyDescent="0.15">
      <c r="A9" s="1" t="s">
        <v>27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1" t="s">
        <v>2</v>
      </c>
      <c r="B10" s="1" t="s">
        <v>28</v>
      </c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  <c r="K10" s="1" t="s">
        <v>12</v>
      </c>
      <c r="L10" s="1" t="s">
        <v>13</v>
      </c>
      <c r="M10" s="1" t="s">
        <v>14</v>
      </c>
      <c r="N10" s="1" t="s">
        <v>15</v>
      </c>
      <c r="O10" s="1" t="s">
        <v>16</v>
      </c>
      <c r="P10" s="1" t="s">
        <v>17</v>
      </c>
      <c r="Q10" s="1" t="s">
        <v>18</v>
      </c>
      <c r="R10" s="1" t="s">
        <v>19</v>
      </c>
      <c r="S10" s="1" t="s">
        <v>20</v>
      </c>
      <c r="T10" s="1" t="s">
        <v>21</v>
      </c>
      <c r="U10" s="1" t="s">
        <v>22</v>
      </c>
      <c r="V10" s="1" t="s">
        <v>23</v>
      </c>
      <c r="W10" s="1"/>
      <c r="X10" s="1"/>
      <c r="Y10" s="1"/>
      <c r="Z10" s="1"/>
      <c r="AA10" s="1"/>
    </row>
    <row r="11" spans="1:27" ht="15.75" customHeight="1" x14ac:dyDescent="0.15">
      <c r="A11" s="3" t="s">
        <v>29</v>
      </c>
      <c r="B11" s="4">
        <f t="shared" ref="B11:B13" si="0">SUM(C11:V11)</f>
        <v>46355550</v>
      </c>
      <c r="C11" s="4">
        <v>2105200</v>
      </c>
      <c r="D11" s="4">
        <v>2681100.0000000005</v>
      </c>
      <c r="E11" s="4">
        <v>2581800</v>
      </c>
      <c r="F11" s="4">
        <v>2398050</v>
      </c>
      <c r="G11" s="4">
        <v>2387100</v>
      </c>
      <c r="H11" s="4">
        <v>2478750</v>
      </c>
      <c r="I11" s="4">
        <v>2368800</v>
      </c>
      <c r="J11" s="4">
        <v>2250800</v>
      </c>
      <c r="K11" s="4">
        <v>2316999.9999999995</v>
      </c>
      <c r="L11" s="4">
        <v>2350100</v>
      </c>
      <c r="M11" s="4">
        <v>2383200</v>
      </c>
      <c r="N11" s="4">
        <v>2316999.9999999995</v>
      </c>
      <c r="O11" s="4">
        <v>2316999.9999999995</v>
      </c>
      <c r="P11" s="4">
        <v>2383200</v>
      </c>
      <c r="Q11" s="4">
        <v>2280450</v>
      </c>
      <c r="R11" s="4">
        <v>2220200</v>
      </c>
      <c r="S11" s="4">
        <v>2213400</v>
      </c>
      <c r="T11" s="4">
        <v>2138500.0000000005</v>
      </c>
      <c r="U11" s="4">
        <v>2164800</v>
      </c>
      <c r="V11" s="4">
        <v>2019100</v>
      </c>
      <c r="W11" s="4"/>
      <c r="X11" s="4"/>
      <c r="Y11" s="4"/>
      <c r="Z11" s="4"/>
      <c r="AA11" s="4"/>
    </row>
    <row r="12" spans="1:27" ht="15.75" customHeight="1" x14ac:dyDescent="0.15">
      <c r="A12" s="3" t="s">
        <v>30</v>
      </c>
      <c r="B12" s="4">
        <f t="shared" si="0"/>
        <v>7646846.1538461549</v>
      </c>
      <c r="C12" s="4">
        <v>340923.07692307688</v>
      </c>
      <c r="D12" s="4">
        <v>441333.33333333331</v>
      </c>
      <c r="E12" s="4">
        <v>424358.97435897437</v>
      </c>
      <c r="F12" s="4">
        <v>404307.69230769225</v>
      </c>
      <c r="G12" s="4">
        <v>402461.53846153844</v>
      </c>
      <c r="H12" s="4">
        <v>406769.23076923069</v>
      </c>
      <c r="I12" s="4">
        <v>404923.07692307688</v>
      </c>
      <c r="J12" s="4">
        <v>390410.25641025644</v>
      </c>
      <c r="K12" s="4">
        <v>407384.61538461532</v>
      </c>
      <c r="L12" s="4">
        <v>407384.61538461532</v>
      </c>
      <c r="M12" s="4">
        <v>407384.61538461532</v>
      </c>
      <c r="N12" s="4">
        <v>407384.61538461532</v>
      </c>
      <c r="O12" s="4">
        <v>407384.61538461532</v>
      </c>
      <c r="P12" s="4">
        <v>390410.25641025644</v>
      </c>
      <c r="Q12" s="4">
        <v>372871.79487179487</v>
      </c>
      <c r="R12" s="4">
        <v>351615.38461538462</v>
      </c>
      <c r="S12" s="4">
        <v>333846.15384615387</v>
      </c>
      <c r="T12" s="4">
        <v>320564.10256410256</v>
      </c>
      <c r="U12" s="4">
        <v>319589.74358974356</v>
      </c>
      <c r="V12" s="4">
        <v>305538.46153846156</v>
      </c>
      <c r="W12" s="4"/>
      <c r="X12" s="4"/>
      <c r="Y12" s="4"/>
      <c r="Z12" s="4"/>
      <c r="AA12" s="4"/>
    </row>
    <row r="13" spans="1:27" ht="15.75" customHeight="1" x14ac:dyDescent="0.15">
      <c r="A13" s="3" t="s">
        <v>31</v>
      </c>
      <c r="B13" s="4">
        <f t="shared" si="0"/>
        <v>2914020</v>
      </c>
      <c r="C13" s="4">
        <v>144039.99999999997</v>
      </c>
      <c r="D13" s="4">
        <v>172119.99999999997</v>
      </c>
      <c r="E13" s="4">
        <v>172119.99999999997</v>
      </c>
      <c r="F13" s="4">
        <v>170819.99999999997</v>
      </c>
      <c r="G13" s="4">
        <v>156960</v>
      </c>
      <c r="H13" s="4">
        <v>158640</v>
      </c>
      <c r="I13" s="4">
        <v>157920</v>
      </c>
      <c r="J13" s="4">
        <v>158880</v>
      </c>
      <c r="K13" s="4">
        <v>145640</v>
      </c>
      <c r="L13" s="4">
        <v>145640</v>
      </c>
      <c r="M13" s="4">
        <v>145640</v>
      </c>
      <c r="N13" s="4">
        <v>145640</v>
      </c>
      <c r="O13" s="4">
        <v>145640</v>
      </c>
      <c r="P13" s="4">
        <v>145640</v>
      </c>
      <c r="Q13" s="4">
        <v>132200</v>
      </c>
      <c r="R13" s="4">
        <v>130600</v>
      </c>
      <c r="S13" s="4">
        <v>130200</v>
      </c>
      <c r="T13" s="4">
        <v>118440</v>
      </c>
      <c r="U13" s="4">
        <v>118080</v>
      </c>
      <c r="V13" s="4">
        <v>119160</v>
      </c>
      <c r="W13" s="4"/>
      <c r="X13" s="4"/>
      <c r="Y13" s="4"/>
      <c r="Z13" s="4"/>
      <c r="AA13" s="4"/>
    </row>
    <row r="14" spans="1:27" ht="15.75" customHeight="1" x14ac:dyDescent="0.15">
      <c r="A14" s="3" t="s">
        <v>32</v>
      </c>
    </row>
    <row r="16" spans="1:27" ht="15.75" customHeight="1" x14ac:dyDescent="0.15">
      <c r="A16" s="1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2"/>
      <c r="Y16" s="2"/>
      <c r="Z16" s="2"/>
      <c r="AA16" s="2"/>
    </row>
    <row r="17" spans="1:27" ht="15.75" customHeight="1" x14ac:dyDescent="0.15">
      <c r="A17" s="1" t="s">
        <v>2</v>
      </c>
      <c r="B17" s="1" t="s">
        <v>4</v>
      </c>
      <c r="C17" s="1" t="s">
        <v>5</v>
      </c>
      <c r="D17" s="1" t="s">
        <v>6</v>
      </c>
      <c r="E17" s="1" t="s">
        <v>7</v>
      </c>
      <c r="F17" s="1" t="s">
        <v>8</v>
      </c>
      <c r="G17" s="1" t="s">
        <v>9</v>
      </c>
      <c r="H17" s="1" t="s">
        <v>10</v>
      </c>
      <c r="I17" s="1" t="s">
        <v>11</v>
      </c>
      <c r="J17" s="1" t="s">
        <v>12</v>
      </c>
      <c r="K17" s="1" t="s">
        <v>13</v>
      </c>
      <c r="L17" s="1" t="s">
        <v>14</v>
      </c>
      <c r="M17" s="1" t="s">
        <v>15</v>
      </c>
      <c r="N17" s="1" t="s">
        <v>16</v>
      </c>
      <c r="O17" s="1" t="s">
        <v>17</v>
      </c>
      <c r="P17" s="1" t="s">
        <v>18</v>
      </c>
      <c r="Q17" s="1" t="s">
        <v>19</v>
      </c>
      <c r="R17" s="1" t="s">
        <v>20</v>
      </c>
      <c r="S17" s="1" t="s">
        <v>21</v>
      </c>
      <c r="T17" s="1" t="s">
        <v>22</v>
      </c>
      <c r="U17" s="1" t="s">
        <v>23</v>
      </c>
      <c r="V17" s="2"/>
      <c r="W17" s="2"/>
      <c r="X17" s="2"/>
      <c r="Y17" s="2"/>
      <c r="Z17" s="2"/>
      <c r="AA17" s="2"/>
    </row>
    <row r="18" spans="1:27" ht="15.75" customHeight="1" x14ac:dyDescent="0.15">
      <c r="A18" s="3" t="s">
        <v>30</v>
      </c>
      <c r="B18" s="3">
        <f t="shared" ref="B18:U18" si="1">SUM(C6,C12)*0.25</f>
        <v>103668.12097435896</v>
      </c>
      <c r="C18" s="3">
        <f t="shared" si="1"/>
        <v>135446.62887179488</v>
      </c>
      <c r="D18" s="3">
        <f t="shared" si="1"/>
        <v>134727.10005128206</v>
      </c>
      <c r="E18" s="3">
        <f t="shared" si="1"/>
        <v>130531.32666666666</v>
      </c>
      <c r="F18" s="3">
        <f t="shared" si="1"/>
        <v>126949.88938461538</v>
      </c>
      <c r="G18" s="3">
        <f t="shared" si="1"/>
        <v>128471.68153846152</v>
      </c>
      <c r="H18" s="3">
        <f t="shared" si="1"/>
        <v>130877.07712820511</v>
      </c>
      <c r="I18" s="3">
        <f t="shared" si="1"/>
        <v>126838.89461538462</v>
      </c>
      <c r="J18" s="3">
        <f t="shared" si="1"/>
        <v>129189.61005128203</v>
      </c>
      <c r="K18" s="3">
        <f t="shared" si="1"/>
        <v>130643.43056410254</v>
      </c>
      <c r="L18" s="3">
        <f t="shared" si="1"/>
        <v>131105.74548717946</v>
      </c>
      <c r="M18" s="3">
        <f t="shared" si="1"/>
        <v>131946.05374358973</v>
      </c>
      <c r="N18" s="3">
        <f t="shared" si="1"/>
        <v>132542.12015384613</v>
      </c>
      <c r="O18" s="3">
        <f t="shared" si="1"/>
        <v>124626.1797948718</v>
      </c>
      <c r="P18" s="3">
        <f t="shared" si="1"/>
        <v>118040.48015384615</v>
      </c>
      <c r="Q18" s="3">
        <f t="shared" si="1"/>
        <v>107169.87558974359</v>
      </c>
      <c r="R18" s="3">
        <f t="shared" si="1"/>
        <v>104928.65215384617</v>
      </c>
      <c r="S18" s="3">
        <f t="shared" si="1"/>
        <v>104986.81820512821</v>
      </c>
      <c r="T18" s="3">
        <f t="shared" si="1"/>
        <v>106010.95994871794</v>
      </c>
      <c r="U18" s="3">
        <f t="shared" si="1"/>
        <v>94641.693384615384</v>
      </c>
    </row>
    <row r="19" spans="1:27" ht="15.75" customHeight="1" x14ac:dyDescent="0.15">
      <c r="A19" s="3" t="s">
        <v>34</v>
      </c>
    </row>
    <row r="20" spans="1:27" ht="15.75" customHeight="1" x14ac:dyDescent="0.15">
      <c r="A20" s="3" t="s">
        <v>35</v>
      </c>
      <c r="B20" s="3">
        <f>AVERAGE(B18:U18)</f>
        <v>121667.11692307692</v>
      </c>
    </row>
    <row r="21" spans="1:27" ht="15.75" customHeight="1" x14ac:dyDescent="0.15">
      <c r="A21" s="3" t="s">
        <v>36</v>
      </c>
      <c r="B21" s="3">
        <f>SUM(B18:U18)</f>
        <v>2433342.3384615383</v>
      </c>
    </row>
    <row r="23" spans="1:27" ht="15.75" customHeight="1" x14ac:dyDescent="0.15">
      <c r="A23" s="5" t="s">
        <v>37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5.75" customHeight="1" x14ac:dyDescent="0.15">
      <c r="A24" s="3" t="s">
        <v>38</v>
      </c>
      <c r="B24" s="3">
        <v>10</v>
      </c>
    </row>
    <row r="25" spans="1:27" ht="15.75" customHeight="1" x14ac:dyDescent="0.15">
      <c r="A25" s="3" t="s">
        <v>39</v>
      </c>
      <c r="B25" s="3">
        <v>180000</v>
      </c>
    </row>
    <row r="26" spans="1:27" ht="15.75" customHeight="1" x14ac:dyDescent="0.15">
      <c r="A26" s="3" t="s">
        <v>40</v>
      </c>
      <c r="B26" s="3">
        <v>152</v>
      </c>
    </row>
    <row r="27" spans="1:27" ht="15.75" customHeight="1" x14ac:dyDescent="0.15">
      <c r="A27" s="3" t="s">
        <v>41</v>
      </c>
      <c r="B27" s="3">
        <v>375</v>
      </c>
    </row>
    <row r="28" spans="1:27" ht="15.75" customHeight="1" x14ac:dyDescent="0.15">
      <c r="A28" s="3" t="s">
        <v>42</v>
      </c>
      <c r="B28" s="3">
        <f>B27-B26</f>
        <v>223</v>
      </c>
    </row>
    <row r="29" spans="1:27" ht="15.75" customHeight="1" x14ac:dyDescent="0.15">
      <c r="A29" s="3" t="s">
        <v>43</v>
      </c>
      <c r="B29" s="3">
        <f>B28*B25/1000000</f>
        <v>40.14</v>
      </c>
    </row>
    <row r="31" spans="1:27" ht="15.75" customHeight="1" x14ac:dyDescent="0.15">
      <c r="A31" s="3" t="s">
        <v>44</v>
      </c>
    </row>
    <row r="32" spans="1:27" ht="15.75" customHeight="1" x14ac:dyDescent="0.15">
      <c r="A32" s="3" t="s">
        <v>45</v>
      </c>
    </row>
    <row r="34" spans="1:27" ht="15.75" customHeight="1" x14ac:dyDescent="0.15">
      <c r="A34" s="2"/>
      <c r="B34" s="1" t="s">
        <v>4</v>
      </c>
      <c r="C34" s="1" t="s">
        <v>5</v>
      </c>
      <c r="D34" s="1" t="s">
        <v>6</v>
      </c>
      <c r="E34" s="1" t="s">
        <v>7</v>
      </c>
      <c r="F34" s="1" t="s">
        <v>8</v>
      </c>
      <c r="G34" s="1" t="s">
        <v>9</v>
      </c>
      <c r="H34" s="1" t="s">
        <v>10</v>
      </c>
      <c r="I34" s="1" t="s">
        <v>11</v>
      </c>
      <c r="J34" s="1" t="s">
        <v>12</v>
      </c>
      <c r="K34" s="1" t="s">
        <v>13</v>
      </c>
      <c r="L34" s="1" t="s">
        <v>14</v>
      </c>
      <c r="M34" s="1" t="s">
        <v>15</v>
      </c>
      <c r="N34" s="1" t="s">
        <v>16</v>
      </c>
      <c r="O34" s="1" t="s">
        <v>17</v>
      </c>
      <c r="P34" s="1" t="s">
        <v>18</v>
      </c>
      <c r="Q34" s="1" t="s">
        <v>19</v>
      </c>
      <c r="R34" s="1" t="s">
        <v>20</v>
      </c>
      <c r="S34" s="1" t="s">
        <v>21</v>
      </c>
      <c r="T34" s="1" t="s">
        <v>22</v>
      </c>
      <c r="U34" s="1" t="s">
        <v>23</v>
      </c>
      <c r="V34" s="2"/>
      <c r="W34" s="2"/>
      <c r="X34" s="2"/>
      <c r="Y34" s="2"/>
      <c r="Z34" s="2"/>
      <c r="AA34" s="2"/>
    </row>
    <row r="35" spans="1:27" ht="15.75" customHeight="1" x14ac:dyDescent="0.15">
      <c r="A35" s="3" t="s">
        <v>46</v>
      </c>
      <c r="B35" s="3">
        <v>40.14</v>
      </c>
      <c r="C35" s="3">
        <v>40.14</v>
      </c>
      <c r="D35" s="3">
        <v>40.14</v>
      </c>
      <c r="E35" s="3">
        <v>40.14</v>
      </c>
      <c r="F35" s="3">
        <v>40.14</v>
      </c>
      <c r="G35" s="3">
        <v>40.14</v>
      </c>
      <c r="H35" s="3">
        <v>40.14</v>
      </c>
      <c r="I35" s="3">
        <v>40.14</v>
      </c>
      <c r="J35" s="3">
        <v>40.14</v>
      </c>
      <c r="K35" s="3">
        <v>40.14</v>
      </c>
      <c r="L35" s="3">
        <v>40.14</v>
      </c>
      <c r="M35" s="3">
        <f>L$35*0.9</f>
        <v>36.126000000000005</v>
      </c>
      <c r="N35" s="3">
        <f>L$35*0.8</f>
        <v>32.112000000000002</v>
      </c>
      <c r="O35" s="3">
        <f>$L$35*0.7</f>
        <v>28.097999999999999</v>
      </c>
      <c r="P35" s="3">
        <f>$L$35*0.6</f>
        <v>24.084</v>
      </c>
      <c r="Q35" s="3">
        <f>$L$35*0.5</f>
        <v>20.07</v>
      </c>
      <c r="R35" s="3">
        <f>$L$35*0.4</f>
        <v>16.056000000000001</v>
      </c>
      <c r="S35" s="3">
        <f>$L$35*0.3</f>
        <v>12.042</v>
      </c>
      <c r="T35" s="3">
        <f>$L$35*0.2</f>
        <v>8.0280000000000005</v>
      </c>
      <c r="U35" s="3">
        <f>$L$35*0.1</f>
        <v>4.0140000000000002</v>
      </c>
    </row>
    <row r="36" spans="1:27" ht="15.75" customHeight="1" x14ac:dyDescent="0.15">
      <c r="A36" s="7" t="s">
        <v>47</v>
      </c>
      <c r="B36" s="3">
        <f t="shared" ref="B36:U36" si="2">B18*B35</f>
        <v>4161238.3759107688</v>
      </c>
      <c r="C36" s="3">
        <f t="shared" si="2"/>
        <v>5436827.6829138463</v>
      </c>
      <c r="D36" s="3">
        <f t="shared" si="2"/>
        <v>5407945.796058462</v>
      </c>
      <c r="E36" s="3">
        <f t="shared" si="2"/>
        <v>5239527.4523999998</v>
      </c>
      <c r="F36" s="3">
        <f t="shared" si="2"/>
        <v>5095768.5598984612</v>
      </c>
      <c r="G36" s="3">
        <f t="shared" si="2"/>
        <v>5156853.2969538458</v>
      </c>
      <c r="H36" s="3">
        <f t="shared" si="2"/>
        <v>5253405.8759261537</v>
      </c>
      <c r="I36" s="3">
        <f t="shared" si="2"/>
        <v>5091313.2298615389</v>
      </c>
      <c r="J36" s="3">
        <f t="shared" si="2"/>
        <v>5185670.9474584609</v>
      </c>
      <c r="K36" s="3">
        <f t="shared" si="2"/>
        <v>5244027.3028430762</v>
      </c>
      <c r="L36" s="3">
        <f t="shared" si="2"/>
        <v>5262584.6238553841</v>
      </c>
      <c r="M36" s="3">
        <f t="shared" si="2"/>
        <v>4766683.1375409234</v>
      </c>
      <c r="N36" s="3">
        <f t="shared" si="2"/>
        <v>4256192.5623803074</v>
      </c>
      <c r="O36" s="3">
        <f t="shared" si="2"/>
        <v>3501746.3998763077</v>
      </c>
      <c r="P36" s="3">
        <f t="shared" si="2"/>
        <v>2842886.9240252306</v>
      </c>
      <c r="Q36" s="3">
        <f t="shared" si="2"/>
        <v>2150899.4030861538</v>
      </c>
      <c r="R36" s="3">
        <f t="shared" si="2"/>
        <v>1684734.4389821542</v>
      </c>
      <c r="S36" s="3">
        <f t="shared" si="2"/>
        <v>1264251.2648261539</v>
      </c>
      <c r="T36" s="3">
        <f t="shared" si="2"/>
        <v>851055.98646830767</v>
      </c>
      <c r="U36" s="3">
        <f t="shared" si="2"/>
        <v>379891.75724584615</v>
      </c>
    </row>
    <row r="37" spans="1:27" ht="15.75" customHeight="1" x14ac:dyDescent="0.15">
      <c r="A37" s="7" t="s">
        <v>48</v>
      </c>
      <c r="B37" s="3">
        <f>SUM(B36:U36)</f>
        <v>78233505.0185114</v>
      </c>
    </row>
    <row r="38" spans="1:27" ht="15.75" customHeight="1" x14ac:dyDescent="0.15">
      <c r="A38" s="7" t="s">
        <v>49</v>
      </c>
      <c r="B38" s="3">
        <f>B37/1000000</f>
        <v>78.233505018511394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36"/>
  <sheetViews>
    <sheetView workbookViewId="0"/>
  </sheetViews>
  <sheetFormatPr baseColWidth="10" defaultColWidth="12.6640625" defaultRowHeight="15.75" customHeight="1" x14ac:dyDescent="0.15"/>
  <cols>
    <col min="1" max="1" width="25.6640625" customWidth="1"/>
    <col min="2" max="2" width="14.83203125" customWidth="1"/>
    <col min="3" max="11" width="9.33203125" customWidth="1"/>
    <col min="12" max="12" width="9.1640625" customWidth="1"/>
    <col min="13" max="22" width="9.33203125" customWidth="1"/>
  </cols>
  <sheetData>
    <row r="1" spans="1:27" ht="15.75" customHeight="1" x14ac:dyDescent="0.15">
      <c r="A1" s="8" t="s">
        <v>50</v>
      </c>
    </row>
    <row r="2" spans="1:27" ht="15.75" customHeight="1" x14ac:dyDescent="0.15">
      <c r="A2" s="9" t="s">
        <v>51</v>
      </c>
    </row>
    <row r="3" spans="1:27" ht="15.75" customHeight="1" x14ac:dyDescent="0.15">
      <c r="A3" s="10" t="s">
        <v>52</v>
      </c>
      <c r="B3" s="10" t="s">
        <v>53</v>
      </c>
      <c r="D3" s="7" t="s">
        <v>54</v>
      </c>
    </row>
    <row r="4" spans="1:27" ht="15.75" customHeight="1" x14ac:dyDescent="0.15">
      <c r="A4" s="11" t="s">
        <v>55</v>
      </c>
      <c r="B4" s="12">
        <v>5</v>
      </c>
      <c r="D4" s="3" t="s">
        <v>56</v>
      </c>
    </row>
    <row r="5" spans="1:27" ht="15.75" customHeight="1" x14ac:dyDescent="0.15">
      <c r="A5" s="13" t="s">
        <v>26</v>
      </c>
      <c r="B5" s="13">
        <v>5</v>
      </c>
      <c r="D5" s="3" t="s">
        <v>57</v>
      </c>
    </row>
    <row r="6" spans="1:27" ht="15.75" customHeight="1" x14ac:dyDescent="0.15">
      <c r="A6" s="13" t="s">
        <v>25</v>
      </c>
      <c r="B6" s="13">
        <v>39</v>
      </c>
      <c r="D6" s="3" t="s">
        <v>58</v>
      </c>
      <c r="E6" s="14"/>
      <c r="I6" s="15">
        <v>581323.50719999988</v>
      </c>
    </row>
    <row r="7" spans="1:27" ht="15.75" customHeight="1" x14ac:dyDescent="0.15">
      <c r="A7" s="11" t="s">
        <v>59</v>
      </c>
      <c r="B7" s="12">
        <v>5</v>
      </c>
      <c r="D7" s="3" t="s">
        <v>60</v>
      </c>
    </row>
    <row r="8" spans="1:27" ht="15.75" customHeight="1" x14ac:dyDescent="0.15">
      <c r="A8" s="11" t="s">
        <v>61</v>
      </c>
      <c r="B8" s="12">
        <v>45</v>
      </c>
      <c r="C8" s="16"/>
      <c r="F8" s="14"/>
      <c r="G8" s="14"/>
    </row>
    <row r="9" spans="1:27" ht="15.75" customHeight="1" x14ac:dyDescent="0.15">
      <c r="A9" s="11" t="s">
        <v>62</v>
      </c>
      <c r="B9" s="12">
        <v>30</v>
      </c>
    </row>
    <row r="10" spans="1:27" ht="15.75" customHeight="1" x14ac:dyDescent="0.15">
      <c r="A10" s="13" t="s">
        <v>24</v>
      </c>
      <c r="B10" s="13">
        <v>20</v>
      </c>
    </row>
    <row r="11" spans="1:27" ht="15.75" customHeight="1" x14ac:dyDescent="0.15">
      <c r="A11" s="11" t="s">
        <v>63</v>
      </c>
      <c r="B11" s="12">
        <v>0</v>
      </c>
    </row>
    <row r="12" spans="1:27" ht="15.75" customHeight="1" x14ac:dyDescent="0.15">
      <c r="A12" s="3" t="s">
        <v>64</v>
      </c>
      <c r="B12" s="3"/>
    </row>
    <row r="13" spans="1:27" ht="15.75" customHeight="1" x14ac:dyDescent="0.15">
      <c r="A13" s="7"/>
      <c r="B13" s="7"/>
    </row>
    <row r="14" spans="1:27" ht="15.75" customHeight="1" x14ac:dyDescent="0.15">
      <c r="A14" s="1" t="s">
        <v>65</v>
      </c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H14" s="1" t="s">
        <v>9</v>
      </c>
      <c r="I14" s="1" t="s">
        <v>10</v>
      </c>
      <c r="J14" s="1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1" t="s">
        <v>16</v>
      </c>
      <c r="P14" s="1" t="s">
        <v>17</v>
      </c>
      <c r="Q14" s="1" t="s">
        <v>18</v>
      </c>
      <c r="R14" s="1" t="s">
        <v>19</v>
      </c>
      <c r="S14" s="1" t="s">
        <v>20</v>
      </c>
      <c r="T14" s="1" t="s">
        <v>21</v>
      </c>
      <c r="U14" s="1" t="s">
        <v>22</v>
      </c>
      <c r="V14" s="1" t="s">
        <v>23</v>
      </c>
      <c r="AA14" s="7"/>
    </row>
    <row r="15" spans="1:27" ht="15.75" customHeight="1" x14ac:dyDescent="0.15">
      <c r="A15" s="2" t="s">
        <v>24</v>
      </c>
      <c r="B15" s="17">
        <f t="shared" ref="B15:B17" si="0">SUM(C15:V15)</f>
        <v>1194138</v>
      </c>
      <c r="C15" s="18">
        <v>46090</v>
      </c>
      <c r="D15" s="18">
        <v>65287</v>
      </c>
      <c r="E15" s="18">
        <v>65367</v>
      </c>
      <c r="F15" s="18">
        <v>67971</v>
      </c>
      <c r="G15" s="18">
        <v>64500</v>
      </c>
      <c r="H15" s="18">
        <v>64933</v>
      </c>
      <c r="I15" s="18">
        <v>64066</v>
      </c>
      <c r="J15" s="18">
        <v>62768</v>
      </c>
      <c r="K15" s="18">
        <v>62984</v>
      </c>
      <c r="L15" s="18">
        <v>62119</v>
      </c>
      <c r="M15" s="18">
        <v>62335</v>
      </c>
      <c r="N15" s="18">
        <v>64500</v>
      </c>
      <c r="O15" s="18">
        <v>62119</v>
      </c>
      <c r="P15" s="18">
        <v>59959</v>
      </c>
      <c r="Q15" s="18">
        <v>57588</v>
      </c>
      <c r="R15" s="18">
        <v>51578</v>
      </c>
      <c r="S15" s="18">
        <v>52006</v>
      </c>
      <c r="T15" s="18">
        <v>57158</v>
      </c>
      <c r="U15" s="18">
        <v>59528</v>
      </c>
      <c r="V15" s="19">
        <v>41282</v>
      </c>
    </row>
    <row r="16" spans="1:27" ht="15.75" customHeight="1" x14ac:dyDescent="0.15">
      <c r="A16" s="2" t="s">
        <v>25</v>
      </c>
      <c r="B16" s="17">
        <f t="shared" si="0"/>
        <v>179400</v>
      </c>
      <c r="C16" s="17">
        <v>6341</v>
      </c>
      <c r="D16" s="17">
        <v>8637</v>
      </c>
      <c r="E16" s="17">
        <v>9849</v>
      </c>
      <c r="F16" s="17">
        <v>10130</v>
      </c>
      <c r="G16" s="18">
        <v>9057</v>
      </c>
      <c r="H16" s="17">
        <v>9210</v>
      </c>
      <c r="I16" s="17">
        <v>10196</v>
      </c>
      <c r="J16" s="17">
        <v>10055</v>
      </c>
      <c r="K16" s="17">
        <v>9404</v>
      </c>
      <c r="L16" s="17">
        <v>9904</v>
      </c>
      <c r="M16" s="17">
        <v>10063</v>
      </c>
      <c r="N16" s="17">
        <v>10352</v>
      </c>
      <c r="O16" s="17">
        <v>10557</v>
      </c>
      <c r="P16" s="17">
        <v>9294</v>
      </c>
      <c r="Q16" s="17">
        <v>8537</v>
      </c>
      <c r="R16" s="17">
        <v>6626</v>
      </c>
      <c r="S16" s="17">
        <v>7383</v>
      </c>
      <c r="T16" s="17">
        <v>8545</v>
      </c>
      <c r="U16" s="17">
        <v>8981</v>
      </c>
      <c r="V16" s="17">
        <v>6279</v>
      </c>
    </row>
    <row r="17" spans="1:22" ht="15.75" customHeight="1" x14ac:dyDescent="0.15">
      <c r="A17" s="2" t="s">
        <v>26</v>
      </c>
      <c r="B17" s="17">
        <f t="shared" si="0"/>
        <v>6408</v>
      </c>
      <c r="C17" s="19">
        <v>268</v>
      </c>
      <c r="D17" s="19">
        <v>365</v>
      </c>
      <c r="E17" s="19">
        <v>346</v>
      </c>
      <c r="F17" s="19">
        <v>356</v>
      </c>
      <c r="G17" s="19">
        <v>318</v>
      </c>
      <c r="H17" s="19">
        <v>323</v>
      </c>
      <c r="I17" s="19">
        <v>358</v>
      </c>
      <c r="J17" s="19">
        <v>353</v>
      </c>
      <c r="K17" s="19">
        <v>330</v>
      </c>
      <c r="L17" s="19">
        <v>348</v>
      </c>
      <c r="M17" s="19">
        <v>354</v>
      </c>
      <c r="N17" s="19">
        <v>364</v>
      </c>
      <c r="O17" s="19">
        <v>371</v>
      </c>
      <c r="P17" s="19">
        <v>326</v>
      </c>
      <c r="Q17" s="19">
        <v>300</v>
      </c>
      <c r="R17" s="19">
        <v>233</v>
      </c>
      <c r="S17" s="19">
        <v>259</v>
      </c>
      <c r="T17" s="19">
        <v>300</v>
      </c>
      <c r="U17" s="19">
        <v>315</v>
      </c>
      <c r="V17" s="19">
        <v>221</v>
      </c>
    </row>
    <row r="18" spans="1:22" ht="15.75" customHeight="1" x14ac:dyDescent="0.15">
      <c r="A18" s="3" t="s">
        <v>66</v>
      </c>
      <c r="B18" s="3">
        <f t="shared" ref="B18:V18" si="1">B15/B16</f>
        <v>6.6562876254180603</v>
      </c>
      <c r="C18" s="3">
        <f t="shared" si="1"/>
        <v>7.2685696262419173</v>
      </c>
      <c r="D18" s="3">
        <f t="shared" si="1"/>
        <v>7.5589903901817763</v>
      </c>
      <c r="E18" s="3">
        <f t="shared" si="1"/>
        <v>6.636917453548584</v>
      </c>
      <c r="F18" s="3">
        <f t="shared" si="1"/>
        <v>6.709871668311945</v>
      </c>
      <c r="G18" s="3">
        <f t="shared" si="1"/>
        <v>7.1215634315998679</v>
      </c>
      <c r="H18" s="3">
        <f t="shared" si="1"/>
        <v>7.0502714440825187</v>
      </c>
      <c r="I18" s="3">
        <f t="shared" si="1"/>
        <v>6.2834444880345233</v>
      </c>
      <c r="J18" s="3">
        <f t="shared" si="1"/>
        <v>6.2424664346096472</v>
      </c>
      <c r="K18" s="3">
        <f t="shared" si="1"/>
        <v>6.6975754997873249</v>
      </c>
      <c r="L18" s="3">
        <f t="shared" si="1"/>
        <v>6.272112277867528</v>
      </c>
      <c r="M18" s="3">
        <f t="shared" si="1"/>
        <v>6.1944748087051575</v>
      </c>
      <c r="N18" s="3">
        <f t="shared" si="1"/>
        <v>6.2306800618238025</v>
      </c>
      <c r="O18" s="3">
        <f t="shared" si="1"/>
        <v>5.8841526948943832</v>
      </c>
      <c r="P18" s="3">
        <f t="shared" si="1"/>
        <v>6.4513664729933291</v>
      </c>
      <c r="Q18" s="3">
        <f t="shared" si="1"/>
        <v>6.7456952090898445</v>
      </c>
      <c r="R18" s="3">
        <f t="shared" si="1"/>
        <v>7.7841835194687592</v>
      </c>
      <c r="S18" s="3">
        <f t="shared" si="1"/>
        <v>7.0440200460517408</v>
      </c>
      <c r="T18" s="3">
        <f t="shared" si="1"/>
        <v>6.6890579286132237</v>
      </c>
      <c r="U18" s="3">
        <f t="shared" si="1"/>
        <v>6.6282151208105997</v>
      </c>
      <c r="V18" s="3">
        <f t="shared" si="1"/>
        <v>6.5746137920050964</v>
      </c>
    </row>
    <row r="19" spans="1:22" ht="15.75" customHeight="1" x14ac:dyDescent="0.15">
      <c r="A19" s="3" t="s">
        <v>67</v>
      </c>
      <c r="B19" s="20">
        <f>AVERAGE(B18:V18)</f>
        <v>6.70116809495903</v>
      </c>
      <c r="C19" s="4"/>
      <c r="D19" s="20"/>
      <c r="E19" s="20"/>
      <c r="F19" s="20"/>
      <c r="G19" s="20"/>
      <c r="H19" s="20"/>
      <c r="I19" s="20"/>
    </row>
    <row r="20" spans="1:22" ht="15.75" customHeight="1" x14ac:dyDescent="0.15">
      <c r="A20" s="10" t="s">
        <v>68</v>
      </c>
      <c r="B20" s="10" t="s">
        <v>3</v>
      </c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11</v>
      </c>
      <c r="K20" s="10" t="s">
        <v>12</v>
      </c>
      <c r="L20" s="10" t="s">
        <v>13</v>
      </c>
      <c r="M20" s="10" t="s">
        <v>14</v>
      </c>
      <c r="N20" s="10" t="s">
        <v>15</v>
      </c>
      <c r="O20" s="10" t="s">
        <v>16</v>
      </c>
      <c r="P20" s="10" t="s">
        <v>17</v>
      </c>
      <c r="Q20" s="10" t="s">
        <v>18</v>
      </c>
      <c r="R20" s="10" t="s">
        <v>19</v>
      </c>
      <c r="S20" s="10" t="s">
        <v>20</v>
      </c>
      <c r="T20" s="10" t="s">
        <v>21</v>
      </c>
      <c r="U20" s="10" t="s">
        <v>22</v>
      </c>
      <c r="V20" s="10" t="s">
        <v>23</v>
      </c>
    </row>
    <row r="21" spans="1:22" ht="15.75" customHeight="1" x14ac:dyDescent="0.15">
      <c r="A21" s="12" t="s">
        <v>24</v>
      </c>
      <c r="B21" s="21">
        <f t="shared" ref="B21:B23" si="2">SUM(C21:V21)</f>
        <v>1194138000</v>
      </c>
      <c r="C21" s="21">
        <f t="shared" ref="C21:V21" si="3">C15*1000</f>
        <v>46090000</v>
      </c>
      <c r="D21" s="21">
        <f t="shared" si="3"/>
        <v>65287000</v>
      </c>
      <c r="E21" s="21">
        <f t="shared" si="3"/>
        <v>65367000</v>
      </c>
      <c r="F21" s="21">
        <f t="shared" si="3"/>
        <v>67971000</v>
      </c>
      <c r="G21" s="21">
        <f t="shared" si="3"/>
        <v>64500000</v>
      </c>
      <c r="H21" s="21">
        <f t="shared" si="3"/>
        <v>64933000</v>
      </c>
      <c r="I21" s="21">
        <f t="shared" si="3"/>
        <v>64066000</v>
      </c>
      <c r="J21" s="21">
        <f t="shared" si="3"/>
        <v>62768000</v>
      </c>
      <c r="K21" s="21">
        <f t="shared" si="3"/>
        <v>62984000</v>
      </c>
      <c r="L21" s="21">
        <f t="shared" si="3"/>
        <v>62119000</v>
      </c>
      <c r="M21" s="21">
        <f t="shared" si="3"/>
        <v>62335000</v>
      </c>
      <c r="N21" s="21">
        <f t="shared" si="3"/>
        <v>64500000</v>
      </c>
      <c r="O21" s="21">
        <f t="shared" si="3"/>
        <v>62119000</v>
      </c>
      <c r="P21" s="21">
        <f t="shared" si="3"/>
        <v>59959000</v>
      </c>
      <c r="Q21" s="21">
        <f t="shared" si="3"/>
        <v>57588000</v>
      </c>
      <c r="R21" s="21">
        <f t="shared" si="3"/>
        <v>51578000</v>
      </c>
      <c r="S21" s="21">
        <f t="shared" si="3"/>
        <v>52006000</v>
      </c>
      <c r="T21" s="21">
        <f t="shared" si="3"/>
        <v>57158000</v>
      </c>
      <c r="U21" s="21">
        <f t="shared" si="3"/>
        <v>59528000</v>
      </c>
      <c r="V21" s="21">
        <f t="shared" si="3"/>
        <v>41282000</v>
      </c>
    </row>
    <row r="22" spans="1:22" ht="15.75" customHeight="1" x14ac:dyDescent="0.15">
      <c r="A22" s="12" t="s">
        <v>25</v>
      </c>
      <c r="B22" s="21">
        <f t="shared" si="2"/>
        <v>179400000</v>
      </c>
      <c r="C22" s="21">
        <f t="shared" ref="C22:V22" si="4">C16*1000</f>
        <v>6341000</v>
      </c>
      <c r="D22" s="21">
        <f t="shared" si="4"/>
        <v>8637000</v>
      </c>
      <c r="E22" s="21">
        <f t="shared" si="4"/>
        <v>9849000</v>
      </c>
      <c r="F22" s="21">
        <f t="shared" si="4"/>
        <v>10130000</v>
      </c>
      <c r="G22" s="21">
        <f t="shared" si="4"/>
        <v>9057000</v>
      </c>
      <c r="H22" s="21">
        <f t="shared" si="4"/>
        <v>9210000</v>
      </c>
      <c r="I22" s="21">
        <f t="shared" si="4"/>
        <v>10196000</v>
      </c>
      <c r="J22" s="21">
        <f t="shared" si="4"/>
        <v>10055000</v>
      </c>
      <c r="K22" s="21">
        <f t="shared" si="4"/>
        <v>9404000</v>
      </c>
      <c r="L22" s="21">
        <f t="shared" si="4"/>
        <v>9904000</v>
      </c>
      <c r="M22" s="21">
        <f t="shared" si="4"/>
        <v>10063000</v>
      </c>
      <c r="N22" s="21">
        <f t="shared" si="4"/>
        <v>10352000</v>
      </c>
      <c r="O22" s="21">
        <f t="shared" si="4"/>
        <v>10557000</v>
      </c>
      <c r="P22" s="21">
        <f t="shared" si="4"/>
        <v>9294000</v>
      </c>
      <c r="Q22" s="21">
        <f t="shared" si="4"/>
        <v>8537000</v>
      </c>
      <c r="R22" s="21">
        <f t="shared" si="4"/>
        <v>6626000</v>
      </c>
      <c r="S22" s="21">
        <f t="shared" si="4"/>
        <v>7383000</v>
      </c>
      <c r="T22" s="21">
        <f t="shared" si="4"/>
        <v>8545000</v>
      </c>
      <c r="U22" s="21">
        <f t="shared" si="4"/>
        <v>8981000</v>
      </c>
      <c r="V22" s="21">
        <f t="shared" si="4"/>
        <v>6279000</v>
      </c>
    </row>
    <row r="23" spans="1:22" ht="15.75" customHeight="1" x14ac:dyDescent="0.15">
      <c r="A23" s="12" t="s">
        <v>26</v>
      </c>
      <c r="B23" s="21">
        <f t="shared" si="2"/>
        <v>6408000</v>
      </c>
      <c r="C23" s="21">
        <f t="shared" ref="C23:V23" si="5">C17*1000</f>
        <v>268000</v>
      </c>
      <c r="D23" s="21">
        <f t="shared" si="5"/>
        <v>365000</v>
      </c>
      <c r="E23" s="21">
        <f t="shared" si="5"/>
        <v>346000</v>
      </c>
      <c r="F23" s="21">
        <f t="shared" si="5"/>
        <v>356000</v>
      </c>
      <c r="G23" s="21">
        <f t="shared" si="5"/>
        <v>318000</v>
      </c>
      <c r="H23" s="21">
        <f t="shared" si="5"/>
        <v>323000</v>
      </c>
      <c r="I23" s="21">
        <f t="shared" si="5"/>
        <v>358000</v>
      </c>
      <c r="J23" s="21">
        <f t="shared" si="5"/>
        <v>353000</v>
      </c>
      <c r="K23" s="21">
        <f t="shared" si="5"/>
        <v>330000</v>
      </c>
      <c r="L23" s="21">
        <f t="shared" si="5"/>
        <v>348000</v>
      </c>
      <c r="M23" s="21">
        <f t="shared" si="5"/>
        <v>354000</v>
      </c>
      <c r="N23" s="21">
        <f t="shared" si="5"/>
        <v>364000</v>
      </c>
      <c r="O23" s="21">
        <f t="shared" si="5"/>
        <v>371000</v>
      </c>
      <c r="P23" s="21">
        <f t="shared" si="5"/>
        <v>326000</v>
      </c>
      <c r="Q23" s="21">
        <f t="shared" si="5"/>
        <v>300000</v>
      </c>
      <c r="R23" s="21">
        <f t="shared" si="5"/>
        <v>233000</v>
      </c>
      <c r="S23" s="21">
        <f t="shared" si="5"/>
        <v>259000</v>
      </c>
      <c r="T23" s="21">
        <f t="shared" si="5"/>
        <v>300000</v>
      </c>
      <c r="U23" s="21">
        <f t="shared" si="5"/>
        <v>315000</v>
      </c>
      <c r="V23" s="21">
        <f t="shared" si="5"/>
        <v>221000</v>
      </c>
    </row>
    <row r="26" spans="1:22" ht="15.75" customHeight="1" x14ac:dyDescent="0.15">
      <c r="A26" s="1" t="s">
        <v>69</v>
      </c>
      <c r="B26" s="1" t="s">
        <v>3</v>
      </c>
      <c r="C26" s="1" t="s">
        <v>4</v>
      </c>
      <c r="D26" s="1" t="s">
        <v>5</v>
      </c>
      <c r="E26" s="1" t="s">
        <v>6</v>
      </c>
      <c r="F26" s="1" t="s">
        <v>7</v>
      </c>
      <c r="G26" s="1" t="s">
        <v>8</v>
      </c>
      <c r="H26" s="1" t="s">
        <v>9</v>
      </c>
      <c r="I26" s="1" t="s">
        <v>10</v>
      </c>
      <c r="J26" s="1" t="s">
        <v>11</v>
      </c>
      <c r="K26" s="1" t="s">
        <v>12</v>
      </c>
      <c r="L26" s="1" t="s">
        <v>13</v>
      </c>
      <c r="M26" s="1" t="s">
        <v>14</v>
      </c>
      <c r="N26" s="1" t="s">
        <v>15</v>
      </c>
      <c r="O26" s="1" t="s">
        <v>16</v>
      </c>
      <c r="P26" s="1" t="s">
        <v>17</v>
      </c>
      <c r="Q26" s="1" t="s">
        <v>18</v>
      </c>
      <c r="R26" s="1" t="s">
        <v>19</v>
      </c>
      <c r="S26" s="1" t="s">
        <v>20</v>
      </c>
      <c r="T26" s="1" t="s">
        <v>21</v>
      </c>
      <c r="U26" s="1" t="s">
        <v>22</v>
      </c>
      <c r="V26" s="1" t="s">
        <v>23</v>
      </c>
    </row>
    <row r="27" spans="1:22" ht="15.75" customHeight="1" x14ac:dyDescent="0.15">
      <c r="A27" s="2" t="s">
        <v>24</v>
      </c>
      <c r="B27" s="17">
        <f t="shared" ref="B27:B29" si="6">SUM(C27:V27)</f>
        <v>541651443.69599998</v>
      </c>
      <c r="C27" s="17">
        <f t="shared" ref="C27:V27" si="7">C21*0.453592</f>
        <v>20906055.280000001</v>
      </c>
      <c r="D27" s="17">
        <f t="shared" si="7"/>
        <v>29613660.903999999</v>
      </c>
      <c r="E27" s="17">
        <f t="shared" si="7"/>
        <v>29649948.263999999</v>
      </c>
      <c r="F27" s="17">
        <f t="shared" si="7"/>
        <v>30831101.831999999</v>
      </c>
      <c r="G27" s="17">
        <f t="shared" si="7"/>
        <v>29256684</v>
      </c>
      <c r="H27" s="17">
        <f t="shared" si="7"/>
        <v>29453089.335999999</v>
      </c>
      <c r="I27" s="17">
        <f t="shared" si="7"/>
        <v>29059825.072000001</v>
      </c>
      <c r="J27" s="17">
        <f t="shared" si="7"/>
        <v>28471062.655999999</v>
      </c>
      <c r="K27" s="17">
        <f t="shared" si="7"/>
        <v>28569038.528000001</v>
      </c>
      <c r="L27" s="17">
        <f t="shared" si="7"/>
        <v>28176681.447999999</v>
      </c>
      <c r="M27" s="17">
        <f t="shared" si="7"/>
        <v>28274657.32</v>
      </c>
      <c r="N27" s="17">
        <f t="shared" si="7"/>
        <v>29256684</v>
      </c>
      <c r="O27" s="17">
        <f t="shared" si="7"/>
        <v>28176681.447999999</v>
      </c>
      <c r="P27" s="17">
        <f t="shared" si="7"/>
        <v>27196922.728</v>
      </c>
      <c r="Q27" s="17">
        <f t="shared" si="7"/>
        <v>26121456.096000001</v>
      </c>
      <c r="R27" s="17">
        <f t="shared" si="7"/>
        <v>23395368.175999999</v>
      </c>
      <c r="S27" s="17">
        <f t="shared" si="7"/>
        <v>23589505.552000001</v>
      </c>
      <c r="T27" s="17">
        <f t="shared" si="7"/>
        <v>25926411.535999998</v>
      </c>
      <c r="U27" s="17">
        <f t="shared" si="7"/>
        <v>27001424.576000001</v>
      </c>
      <c r="V27" s="17">
        <f t="shared" si="7"/>
        <v>18725184.943999998</v>
      </c>
    </row>
    <row r="28" spans="1:22" ht="15.75" customHeight="1" x14ac:dyDescent="0.15">
      <c r="A28" s="2" t="s">
        <v>25</v>
      </c>
      <c r="B28" s="17">
        <f t="shared" si="6"/>
        <v>81374404.800000012</v>
      </c>
      <c r="C28" s="17">
        <f t="shared" ref="C28:V28" si="8">C22*0.453592</f>
        <v>2876226.872</v>
      </c>
      <c r="D28" s="17">
        <f t="shared" si="8"/>
        <v>3917674.1039999998</v>
      </c>
      <c r="E28" s="17">
        <f t="shared" si="8"/>
        <v>4467427.608</v>
      </c>
      <c r="F28" s="17">
        <f t="shared" si="8"/>
        <v>4594886.96</v>
      </c>
      <c r="G28" s="17">
        <f t="shared" si="8"/>
        <v>4108182.7439999999</v>
      </c>
      <c r="H28" s="17">
        <f t="shared" si="8"/>
        <v>4177582.32</v>
      </c>
      <c r="I28" s="17">
        <f t="shared" si="8"/>
        <v>4624824.0319999997</v>
      </c>
      <c r="J28" s="17">
        <f t="shared" si="8"/>
        <v>4560867.5599999996</v>
      </c>
      <c r="K28" s="17">
        <f t="shared" si="8"/>
        <v>4265579.1679999996</v>
      </c>
      <c r="L28" s="17">
        <f t="shared" si="8"/>
        <v>4492375.1679999996</v>
      </c>
      <c r="M28" s="17">
        <f t="shared" si="8"/>
        <v>4564496.2960000001</v>
      </c>
      <c r="N28" s="17">
        <f t="shared" si="8"/>
        <v>4695584.3839999996</v>
      </c>
      <c r="O28" s="17">
        <f t="shared" si="8"/>
        <v>4788570.7439999999</v>
      </c>
      <c r="P28" s="17">
        <f t="shared" si="8"/>
        <v>4215684.0480000004</v>
      </c>
      <c r="Q28" s="17">
        <f t="shared" si="8"/>
        <v>3872314.9040000001</v>
      </c>
      <c r="R28" s="17">
        <f t="shared" si="8"/>
        <v>3005500.5920000002</v>
      </c>
      <c r="S28" s="17">
        <f t="shared" si="8"/>
        <v>3348869.736</v>
      </c>
      <c r="T28" s="17">
        <f t="shared" si="8"/>
        <v>3875943.64</v>
      </c>
      <c r="U28" s="17">
        <f t="shared" si="8"/>
        <v>4073709.7519999999</v>
      </c>
      <c r="V28" s="17">
        <f t="shared" si="8"/>
        <v>2848104.1680000001</v>
      </c>
    </row>
    <row r="29" spans="1:22" ht="15.75" customHeight="1" x14ac:dyDescent="0.15">
      <c r="A29" s="2" t="s">
        <v>26</v>
      </c>
      <c r="B29" s="17">
        <f t="shared" si="6"/>
        <v>2906617.5360000003</v>
      </c>
      <c r="C29" s="17">
        <f t="shared" ref="C29:V29" si="9">C23*0.453592</f>
        <v>121562.656</v>
      </c>
      <c r="D29" s="17">
        <f t="shared" si="9"/>
        <v>165561.07999999999</v>
      </c>
      <c r="E29" s="17">
        <f t="shared" si="9"/>
        <v>156942.83199999999</v>
      </c>
      <c r="F29" s="17">
        <f t="shared" si="9"/>
        <v>161478.75200000001</v>
      </c>
      <c r="G29" s="17">
        <f t="shared" si="9"/>
        <v>144242.25599999999</v>
      </c>
      <c r="H29" s="17">
        <f t="shared" si="9"/>
        <v>146510.21599999999</v>
      </c>
      <c r="I29" s="17">
        <f t="shared" si="9"/>
        <v>162385.93599999999</v>
      </c>
      <c r="J29" s="17">
        <f t="shared" si="9"/>
        <v>160117.976</v>
      </c>
      <c r="K29" s="17">
        <f t="shared" si="9"/>
        <v>149685.35999999999</v>
      </c>
      <c r="L29" s="17">
        <f t="shared" si="9"/>
        <v>157850.016</v>
      </c>
      <c r="M29" s="17">
        <f t="shared" si="9"/>
        <v>160571.568</v>
      </c>
      <c r="N29" s="17">
        <f t="shared" si="9"/>
        <v>165107.48800000001</v>
      </c>
      <c r="O29" s="17">
        <f t="shared" si="9"/>
        <v>168282.63200000001</v>
      </c>
      <c r="P29" s="17">
        <f t="shared" si="9"/>
        <v>147870.992</v>
      </c>
      <c r="Q29" s="17">
        <f t="shared" si="9"/>
        <v>136077.6</v>
      </c>
      <c r="R29" s="17">
        <f t="shared" si="9"/>
        <v>105686.936</v>
      </c>
      <c r="S29" s="17">
        <f t="shared" si="9"/>
        <v>117480.32799999999</v>
      </c>
      <c r="T29" s="17">
        <f t="shared" si="9"/>
        <v>136077.6</v>
      </c>
      <c r="U29" s="17">
        <f t="shared" si="9"/>
        <v>142881.48000000001</v>
      </c>
      <c r="V29" s="17">
        <f t="shared" si="9"/>
        <v>100243.83199999999</v>
      </c>
    </row>
    <row r="31" spans="1:22" ht="15.75" customHeight="1" x14ac:dyDescent="0.15">
      <c r="A31" s="10" t="s">
        <v>2</v>
      </c>
      <c r="B31" s="10" t="s">
        <v>3</v>
      </c>
      <c r="C31" s="10" t="s">
        <v>4</v>
      </c>
      <c r="D31" s="10" t="s">
        <v>5</v>
      </c>
      <c r="E31" s="10" t="s">
        <v>6</v>
      </c>
      <c r="F31" s="10" t="s">
        <v>7</v>
      </c>
      <c r="G31" s="10" t="s">
        <v>8</v>
      </c>
      <c r="H31" s="10" t="s">
        <v>9</v>
      </c>
      <c r="I31" s="10" t="s">
        <v>10</v>
      </c>
      <c r="J31" s="10" t="s">
        <v>11</v>
      </c>
      <c r="K31" s="10" t="s">
        <v>12</v>
      </c>
      <c r="L31" s="10" t="s">
        <v>13</v>
      </c>
      <c r="M31" s="10" t="s">
        <v>14</v>
      </c>
      <c r="N31" s="10" t="s">
        <v>15</v>
      </c>
      <c r="O31" s="10" t="s">
        <v>16</v>
      </c>
      <c r="P31" s="10" t="s">
        <v>17</v>
      </c>
      <c r="Q31" s="10" t="s">
        <v>18</v>
      </c>
      <c r="R31" s="10" t="s">
        <v>19</v>
      </c>
      <c r="S31" s="10" t="s">
        <v>20</v>
      </c>
      <c r="T31" s="10" t="s">
        <v>21</v>
      </c>
      <c r="U31" s="10" t="s">
        <v>22</v>
      </c>
      <c r="V31" s="10" t="s">
        <v>23</v>
      </c>
    </row>
    <row r="32" spans="1:22" ht="15.75" customHeight="1" x14ac:dyDescent="0.15">
      <c r="A32" s="12" t="s">
        <v>24</v>
      </c>
      <c r="B32" s="21">
        <f t="shared" ref="B32:B34" si="10">SUM(C32:V32)</f>
        <v>27082572.184799999</v>
      </c>
      <c r="C32" s="21">
        <f t="shared" ref="C32:V32" si="11">C27/$B$10</f>
        <v>1045302.7640000001</v>
      </c>
      <c r="D32" s="21">
        <f t="shared" si="11"/>
        <v>1480683.0452000001</v>
      </c>
      <c r="E32" s="21">
        <f t="shared" si="11"/>
        <v>1482497.4131999998</v>
      </c>
      <c r="F32" s="21">
        <f t="shared" si="11"/>
        <v>1541555.0915999999</v>
      </c>
      <c r="G32" s="21">
        <f t="shared" si="11"/>
        <v>1462834.2</v>
      </c>
      <c r="H32" s="21">
        <f t="shared" si="11"/>
        <v>1472654.4668000001</v>
      </c>
      <c r="I32" s="21">
        <f t="shared" si="11"/>
        <v>1452991.2535999999</v>
      </c>
      <c r="J32" s="21">
        <f t="shared" si="11"/>
        <v>1423553.1328</v>
      </c>
      <c r="K32" s="21">
        <f t="shared" si="11"/>
        <v>1428451.9264</v>
      </c>
      <c r="L32" s="21">
        <f t="shared" si="11"/>
        <v>1408834.0723999999</v>
      </c>
      <c r="M32" s="21">
        <f t="shared" si="11"/>
        <v>1413732.8659999999</v>
      </c>
      <c r="N32" s="21">
        <f t="shared" si="11"/>
        <v>1462834.2</v>
      </c>
      <c r="O32" s="21">
        <f t="shared" si="11"/>
        <v>1408834.0723999999</v>
      </c>
      <c r="P32" s="21">
        <f t="shared" si="11"/>
        <v>1359846.1364</v>
      </c>
      <c r="Q32" s="21">
        <f t="shared" si="11"/>
        <v>1306072.8048</v>
      </c>
      <c r="R32" s="21">
        <f t="shared" si="11"/>
        <v>1169768.4087999999</v>
      </c>
      <c r="S32" s="21">
        <f t="shared" si="11"/>
        <v>1179475.2776000001</v>
      </c>
      <c r="T32" s="21">
        <f t="shared" si="11"/>
        <v>1296320.5767999999</v>
      </c>
      <c r="U32" s="21">
        <f t="shared" si="11"/>
        <v>1350071.2288000002</v>
      </c>
      <c r="V32" s="21">
        <f t="shared" si="11"/>
        <v>936259.24719999987</v>
      </c>
    </row>
    <row r="33" spans="1:22" ht="15.75" customHeight="1" x14ac:dyDescent="0.15">
      <c r="A33" s="12" t="s">
        <v>25</v>
      </c>
      <c r="B33" s="21">
        <f t="shared" si="10"/>
        <v>2086523.1999999997</v>
      </c>
      <c r="C33" s="21">
        <f t="shared" ref="C33:V33" si="12">C28/$B$6</f>
        <v>73749.406974358979</v>
      </c>
      <c r="D33" s="21">
        <f t="shared" si="12"/>
        <v>100453.18215384615</v>
      </c>
      <c r="E33" s="21">
        <f t="shared" si="12"/>
        <v>114549.42584615384</v>
      </c>
      <c r="F33" s="21">
        <f t="shared" si="12"/>
        <v>117817.61435897436</v>
      </c>
      <c r="G33" s="21">
        <f t="shared" si="12"/>
        <v>105338.01907692307</v>
      </c>
      <c r="H33" s="21">
        <f t="shared" si="12"/>
        <v>107117.49538461538</v>
      </c>
      <c r="I33" s="21">
        <f t="shared" si="12"/>
        <v>118585.23158974358</v>
      </c>
      <c r="J33" s="21">
        <f t="shared" si="12"/>
        <v>116945.32205128204</v>
      </c>
      <c r="K33" s="21">
        <f t="shared" si="12"/>
        <v>109373.8248205128</v>
      </c>
      <c r="L33" s="21">
        <f t="shared" si="12"/>
        <v>115189.10687179487</v>
      </c>
      <c r="M33" s="21">
        <f t="shared" si="12"/>
        <v>117038.36656410257</v>
      </c>
      <c r="N33" s="21">
        <f t="shared" si="12"/>
        <v>120399.59958974358</v>
      </c>
      <c r="O33" s="21">
        <f t="shared" si="12"/>
        <v>122783.86523076922</v>
      </c>
      <c r="P33" s="21">
        <f t="shared" si="12"/>
        <v>108094.46276923078</v>
      </c>
      <c r="Q33" s="21">
        <f t="shared" si="12"/>
        <v>99290.125743589742</v>
      </c>
      <c r="R33" s="21">
        <f t="shared" si="12"/>
        <v>77064.117743589755</v>
      </c>
      <c r="S33" s="21">
        <f t="shared" si="12"/>
        <v>85868.454769230768</v>
      </c>
      <c r="T33" s="21">
        <f t="shared" si="12"/>
        <v>99383.17025641026</v>
      </c>
      <c r="U33" s="21">
        <f t="shared" si="12"/>
        <v>104454.0962051282</v>
      </c>
      <c r="V33" s="21">
        <f t="shared" si="12"/>
        <v>73028.312000000005</v>
      </c>
    </row>
    <row r="34" spans="1:22" ht="15.75" customHeight="1" x14ac:dyDescent="0.15">
      <c r="A34" s="12" t="s">
        <v>26</v>
      </c>
      <c r="B34" s="22">
        <f t="shared" si="10"/>
        <v>581323.50719999988</v>
      </c>
      <c r="C34" s="21">
        <f t="shared" ref="C34:V34" si="13">C29/$B$5</f>
        <v>24312.531200000001</v>
      </c>
      <c r="D34" s="21">
        <f t="shared" si="13"/>
        <v>33112.216</v>
      </c>
      <c r="E34" s="21">
        <f t="shared" si="13"/>
        <v>31388.5664</v>
      </c>
      <c r="F34" s="21">
        <f t="shared" si="13"/>
        <v>32295.750400000001</v>
      </c>
      <c r="G34" s="21">
        <f t="shared" si="13"/>
        <v>28848.4512</v>
      </c>
      <c r="H34" s="21">
        <f t="shared" si="13"/>
        <v>29302.043199999996</v>
      </c>
      <c r="I34" s="21">
        <f t="shared" si="13"/>
        <v>32477.187199999997</v>
      </c>
      <c r="J34" s="21">
        <f t="shared" si="13"/>
        <v>32023.5952</v>
      </c>
      <c r="K34" s="21">
        <f t="shared" si="13"/>
        <v>29937.071999999996</v>
      </c>
      <c r="L34" s="21">
        <f t="shared" si="13"/>
        <v>31570.003199999999</v>
      </c>
      <c r="M34" s="21">
        <f t="shared" si="13"/>
        <v>32114.313600000001</v>
      </c>
      <c r="N34" s="21">
        <f t="shared" si="13"/>
        <v>33021.497600000002</v>
      </c>
      <c r="O34" s="21">
        <f t="shared" si="13"/>
        <v>33656.526400000002</v>
      </c>
      <c r="P34" s="21">
        <f t="shared" si="13"/>
        <v>29574.198400000001</v>
      </c>
      <c r="Q34" s="21">
        <f t="shared" si="13"/>
        <v>27215.52</v>
      </c>
      <c r="R34" s="21">
        <f t="shared" si="13"/>
        <v>21137.387200000001</v>
      </c>
      <c r="S34" s="21">
        <f t="shared" si="13"/>
        <v>23496.065599999998</v>
      </c>
      <c r="T34" s="21">
        <f t="shared" si="13"/>
        <v>27215.52</v>
      </c>
      <c r="U34" s="21">
        <f t="shared" si="13"/>
        <v>28576.296000000002</v>
      </c>
      <c r="V34" s="21">
        <f t="shared" si="13"/>
        <v>20048.7664</v>
      </c>
    </row>
    <row r="36" spans="1:22" ht="15.75" customHeight="1" x14ac:dyDescent="0.15">
      <c r="D36" s="4"/>
    </row>
  </sheetData>
  <hyperlinks>
    <hyperlink ref="A1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48"/>
  <sheetViews>
    <sheetView workbookViewId="0"/>
  </sheetViews>
  <sheetFormatPr baseColWidth="10" defaultColWidth="12.6640625" defaultRowHeight="15.75" customHeight="1" x14ac:dyDescent="0.15"/>
  <cols>
    <col min="1" max="1" width="30.1640625" customWidth="1"/>
    <col min="2" max="2" width="15.1640625" customWidth="1"/>
  </cols>
  <sheetData>
    <row r="1" spans="1:9" ht="15.75" customHeight="1" x14ac:dyDescent="0.15">
      <c r="A1" s="23" t="s">
        <v>70</v>
      </c>
    </row>
    <row r="2" spans="1:9" ht="15.75" customHeight="1" x14ac:dyDescent="0.15">
      <c r="A2" s="3" t="s">
        <v>71</v>
      </c>
      <c r="G2" s="3" t="s">
        <v>72</v>
      </c>
    </row>
    <row r="3" spans="1:9" ht="15.75" customHeight="1" x14ac:dyDescent="0.15">
      <c r="A3" s="23" t="s">
        <v>73</v>
      </c>
      <c r="E3" s="3" t="s">
        <v>74</v>
      </c>
    </row>
    <row r="4" spans="1:9" ht="15.75" customHeight="1" x14ac:dyDescent="0.15">
      <c r="A4" s="10" t="s">
        <v>52</v>
      </c>
      <c r="B4" s="10" t="s">
        <v>53</v>
      </c>
      <c r="D4" s="7" t="s">
        <v>54</v>
      </c>
    </row>
    <row r="5" spans="1:9" ht="15.75" customHeight="1" x14ac:dyDescent="0.15">
      <c r="A5" s="11" t="s">
        <v>55</v>
      </c>
      <c r="B5" s="12">
        <v>5</v>
      </c>
      <c r="D5" s="3" t="s">
        <v>75</v>
      </c>
    </row>
    <row r="6" spans="1:9" ht="15.75" customHeight="1" x14ac:dyDescent="0.15">
      <c r="A6" s="13" t="s">
        <v>26</v>
      </c>
      <c r="B6" s="13">
        <v>5</v>
      </c>
      <c r="D6" s="3" t="s">
        <v>76</v>
      </c>
    </row>
    <row r="7" spans="1:9" ht="15.75" customHeight="1" x14ac:dyDescent="0.15">
      <c r="A7" s="13" t="s">
        <v>25</v>
      </c>
      <c r="B7" s="13">
        <v>39</v>
      </c>
      <c r="D7" s="3" t="s">
        <v>58</v>
      </c>
      <c r="E7" s="14"/>
      <c r="H7" s="15">
        <v>2721554.22</v>
      </c>
      <c r="I7" s="24"/>
    </row>
    <row r="8" spans="1:9" ht="15.75" customHeight="1" x14ac:dyDescent="0.15">
      <c r="A8" s="11" t="s">
        <v>59</v>
      </c>
      <c r="B8" s="12">
        <v>5</v>
      </c>
      <c r="D8" s="3" t="s">
        <v>60</v>
      </c>
    </row>
    <row r="9" spans="1:9" ht="15.75" customHeight="1" x14ac:dyDescent="0.15">
      <c r="A9" s="11" t="s">
        <v>61</v>
      </c>
      <c r="B9" s="12">
        <v>45</v>
      </c>
      <c r="C9" s="16"/>
      <c r="F9" s="14"/>
      <c r="G9" s="14"/>
    </row>
    <row r="10" spans="1:9" ht="15.75" customHeight="1" x14ac:dyDescent="0.15">
      <c r="A10" s="11" t="s">
        <v>62</v>
      </c>
      <c r="B10" s="12">
        <v>30</v>
      </c>
    </row>
    <row r="11" spans="1:9" ht="15.75" customHeight="1" x14ac:dyDescent="0.15">
      <c r="A11" s="13" t="s">
        <v>24</v>
      </c>
      <c r="B11" s="13">
        <v>20</v>
      </c>
    </row>
    <row r="12" spans="1:9" ht="15.75" customHeight="1" x14ac:dyDescent="0.15">
      <c r="A12" s="11" t="s">
        <v>63</v>
      </c>
      <c r="B12" s="12">
        <v>0</v>
      </c>
    </row>
    <row r="13" spans="1:9" ht="15.75" customHeight="1" x14ac:dyDescent="0.15">
      <c r="A13" s="3" t="s">
        <v>77</v>
      </c>
      <c r="B13" s="3"/>
    </row>
    <row r="15" spans="1:9" ht="15.75" customHeight="1" x14ac:dyDescent="0.15">
      <c r="A15" s="3" t="s">
        <v>78</v>
      </c>
      <c r="B15" s="4">
        <v>100000000</v>
      </c>
      <c r="D15" s="3" t="s">
        <v>79</v>
      </c>
      <c r="E15" s="3">
        <f t="shared" ref="E15:E16" si="0">B16/B21</f>
        <v>4.4444444444444446</v>
      </c>
    </row>
    <row r="16" spans="1:9" ht="15.75" customHeight="1" x14ac:dyDescent="0.15">
      <c r="A16" s="3" t="s">
        <v>80</v>
      </c>
      <c r="B16" s="4">
        <v>45359237</v>
      </c>
      <c r="D16" s="3" t="s">
        <v>81</v>
      </c>
      <c r="E16" s="3">
        <f t="shared" si="0"/>
        <v>4.4444444444444446</v>
      </c>
    </row>
    <row r="17" spans="1:10" ht="15.75" customHeight="1" x14ac:dyDescent="0.15">
      <c r="A17" s="3" t="s">
        <v>82</v>
      </c>
      <c r="B17" s="4">
        <f>B16*25</f>
        <v>1133980925</v>
      </c>
    </row>
    <row r="18" spans="1:10" ht="15.75" customHeight="1" x14ac:dyDescent="0.15">
      <c r="A18" s="3" t="s">
        <v>29</v>
      </c>
      <c r="B18" s="4">
        <f>B17/B11</f>
        <v>56699046.25</v>
      </c>
    </row>
    <row r="19" spans="1:10" ht="15.75" customHeight="1" x14ac:dyDescent="0.15">
      <c r="A19" s="3"/>
    </row>
    <row r="20" spans="1:10" ht="15.75" customHeight="1" x14ac:dyDescent="0.15">
      <c r="A20" s="3" t="s">
        <v>83</v>
      </c>
      <c r="B20" s="4">
        <v>22500000</v>
      </c>
    </row>
    <row r="21" spans="1:10" ht="15.75" customHeight="1" x14ac:dyDescent="0.15">
      <c r="A21" s="3" t="s">
        <v>84</v>
      </c>
      <c r="B21" s="4">
        <v>10205828.324999999</v>
      </c>
    </row>
    <row r="22" spans="1:10" ht="15.75" customHeight="1" x14ac:dyDescent="0.15">
      <c r="A22" s="3" t="s">
        <v>85</v>
      </c>
      <c r="B22" s="4">
        <f>B21*25</f>
        <v>255145708.12499997</v>
      </c>
    </row>
    <row r="23" spans="1:10" ht="15.75" customHeight="1" x14ac:dyDescent="0.15">
      <c r="A23" s="3" t="s">
        <v>86</v>
      </c>
      <c r="B23" s="4">
        <f>B22/B7</f>
        <v>6542197.6442307681</v>
      </c>
    </row>
    <row r="24" spans="1:10" ht="15.75" customHeight="1" x14ac:dyDescent="0.15">
      <c r="A24" s="3"/>
    </row>
    <row r="25" spans="1:10" ht="15.75" customHeight="1" x14ac:dyDescent="0.15">
      <c r="A25" s="3" t="s">
        <v>87</v>
      </c>
      <c r="B25" s="4">
        <v>1200000</v>
      </c>
    </row>
    <row r="26" spans="1:10" ht="15.75" customHeight="1" x14ac:dyDescent="0.15">
      <c r="A26" s="3" t="s">
        <v>88</v>
      </c>
      <c r="B26" s="4">
        <v>544310.84400000004</v>
      </c>
    </row>
    <row r="27" spans="1:10" ht="15.75" customHeight="1" x14ac:dyDescent="0.15">
      <c r="A27" s="3" t="s">
        <v>89</v>
      </c>
      <c r="B27" s="4">
        <f>B26*25</f>
        <v>13607771.100000001</v>
      </c>
    </row>
    <row r="28" spans="1:10" ht="15.75" customHeight="1" x14ac:dyDescent="0.15">
      <c r="A28" s="5" t="s">
        <v>31</v>
      </c>
      <c r="B28" s="15">
        <f>B27/B6</f>
        <v>2721554.22</v>
      </c>
    </row>
    <row r="32" spans="1:10" ht="15.75" customHeight="1" x14ac:dyDescent="0.15">
      <c r="A32" s="25" t="s">
        <v>90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27" ht="15.75" customHeight="1" x14ac:dyDescent="0.15">
      <c r="A33" s="1" t="s">
        <v>91</v>
      </c>
      <c r="B33" s="1" t="s">
        <v>3</v>
      </c>
      <c r="C33" s="1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9</v>
      </c>
      <c r="I33" s="1" t="s">
        <v>10</v>
      </c>
      <c r="J33" s="1" t="s">
        <v>11</v>
      </c>
      <c r="K33" s="1" t="s">
        <v>12</v>
      </c>
      <c r="L33" s="1" t="s">
        <v>13</v>
      </c>
      <c r="M33" s="1" t="s">
        <v>14</v>
      </c>
      <c r="N33" s="1" t="s">
        <v>15</v>
      </c>
      <c r="O33" s="1" t="s">
        <v>16</v>
      </c>
      <c r="P33" s="1" t="s">
        <v>17</v>
      </c>
      <c r="Q33" s="1" t="s">
        <v>18</v>
      </c>
      <c r="R33" s="1" t="s">
        <v>19</v>
      </c>
      <c r="S33" s="1" t="s">
        <v>20</v>
      </c>
      <c r="T33" s="1" t="s">
        <v>21</v>
      </c>
      <c r="U33" s="1" t="s">
        <v>22</v>
      </c>
      <c r="V33" s="1" t="s">
        <v>23</v>
      </c>
      <c r="W33" s="1" t="s">
        <v>92</v>
      </c>
      <c r="X33" s="1" t="s">
        <v>93</v>
      </c>
      <c r="Y33" s="1" t="s">
        <v>94</v>
      </c>
      <c r="Z33" s="1" t="s">
        <v>95</v>
      </c>
      <c r="AA33" s="1" t="s">
        <v>96</v>
      </c>
    </row>
    <row r="34" spans="1:27" ht="15.75" customHeight="1" x14ac:dyDescent="0.15">
      <c r="A34" s="3" t="s">
        <v>97</v>
      </c>
      <c r="C34" s="3">
        <v>5.54</v>
      </c>
      <c r="D34" s="3">
        <v>6.62</v>
      </c>
      <c r="E34" s="3">
        <v>6.62</v>
      </c>
      <c r="F34" s="3">
        <v>6.57</v>
      </c>
      <c r="G34" s="3">
        <v>6.54</v>
      </c>
      <c r="H34" s="3">
        <v>6.61</v>
      </c>
      <c r="I34" s="3">
        <v>6.58</v>
      </c>
      <c r="J34" s="3">
        <v>6.62</v>
      </c>
      <c r="K34" s="3">
        <v>6.62</v>
      </c>
      <c r="L34" s="3">
        <v>6.62</v>
      </c>
      <c r="M34" s="3">
        <v>6.62</v>
      </c>
      <c r="N34" s="3">
        <v>6.62</v>
      </c>
      <c r="O34" s="3">
        <v>6.62</v>
      </c>
      <c r="P34" s="3">
        <v>6.62</v>
      </c>
      <c r="Q34" s="3">
        <v>6.61</v>
      </c>
      <c r="R34" s="3">
        <v>6.53</v>
      </c>
      <c r="S34" s="3">
        <v>6.51</v>
      </c>
      <c r="T34" s="3">
        <v>6.58</v>
      </c>
      <c r="U34" s="3">
        <v>6.56</v>
      </c>
      <c r="V34" s="3">
        <v>6.62</v>
      </c>
      <c r="W34" s="3">
        <v>6.62</v>
      </c>
      <c r="X34" s="3">
        <v>6.58</v>
      </c>
      <c r="Y34" s="3">
        <v>6.62</v>
      </c>
      <c r="Z34" s="3">
        <v>6.44</v>
      </c>
      <c r="AA34" s="3">
        <v>6.22</v>
      </c>
    </row>
    <row r="35" spans="1:27" ht="15.75" customHeight="1" x14ac:dyDescent="0.15">
      <c r="A35" s="3" t="s">
        <v>98</v>
      </c>
      <c r="C35" s="4">
        <f t="shared" ref="C35:AA35" si="1">C34*1000000</f>
        <v>5540000</v>
      </c>
      <c r="D35" s="4">
        <f t="shared" si="1"/>
        <v>6620000</v>
      </c>
      <c r="E35" s="4">
        <f t="shared" si="1"/>
        <v>6620000</v>
      </c>
      <c r="F35" s="4">
        <f t="shared" si="1"/>
        <v>6570000</v>
      </c>
      <c r="G35" s="4">
        <f t="shared" si="1"/>
        <v>6540000</v>
      </c>
      <c r="H35" s="4">
        <f t="shared" si="1"/>
        <v>6610000</v>
      </c>
      <c r="I35" s="4">
        <f t="shared" si="1"/>
        <v>6580000</v>
      </c>
      <c r="J35" s="4">
        <f t="shared" si="1"/>
        <v>6620000</v>
      </c>
      <c r="K35" s="4">
        <f t="shared" si="1"/>
        <v>6620000</v>
      </c>
      <c r="L35" s="4">
        <f t="shared" si="1"/>
        <v>6620000</v>
      </c>
      <c r="M35" s="4">
        <f t="shared" si="1"/>
        <v>6620000</v>
      </c>
      <c r="N35" s="4">
        <f t="shared" si="1"/>
        <v>6620000</v>
      </c>
      <c r="O35" s="4">
        <f t="shared" si="1"/>
        <v>6620000</v>
      </c>
      <c r="P35" s="4">
        <f t="shared" si="1"/>
        <v>6620000</v>
      </c>
      <c r="Q35" s="4">
        <f t="shared" si="1"/>
        <v>6610000</v>
      </c>
      <c r="R35" s="4">
        <f t="shared" si="1"/>
        <v>6530000</v>
      </c>
      <c r="S35" s="4">
        <f t="shared" si="1"/>
        <v>6510000</v>
      </c>
      <c r="T35" s="4">
        <f t="shared" si="1"/>
        <v>6580000</v>
      </c>
      <c r="U35" s="4">
        <f t="shared" si="1"/>
        <v>6560000</v>
      </c>
      <c r="V35" s="4">
        <f t="shared" si="1"/>
        <v>6620000</v>
      </c>
      <c r="W35" s="4">
        <f t="shared" si="1"/>
        <v>6620000</v>
      </c>
      <c r="X35" s="4">
        <f t="shared" si="1"/>
        <v>6580000</v>
      </c>
      <c r="Y35" s="4">
        <f t="shared" si="1"/>
        <v>6620000</v>
      </c>
      <c r="Z35" s="4">
        <f t="shared" si="1"/>
        <v>6440000</v>
      </c>
      <c r="AA35" s="4">
        <f t="shared" si="1"/>
        <v>6220000</v>
      </c>
    </row>
    <row r="36" spans="1:27" ht="15.75" customHeight="1" x14ac:dyDescent="0.15">
      <c r="A36" s="3" t="s">
        <v>99</v>
      </c>
      <c r="C36" s="4">
        <f t="shared" ref="C36:AA36" si="2">C35*1000</f>
        <v>5540000000</v>
      </c>
      <c r="D36" s="4">
        <f t="shared" si="2"/>
        <v>6620000000</v>
      </c>
      <c r="E36" s="4">
        <f t="shared" si="2"/>
        <v>6620000000</v>
      </c>
      <c r="F36" s="4">
        <f t="shared" si="2"/>
        <v>6570000000</v>
      </c>
      <c r="G36" s="4">
        <f t="shared" si="2"/>
        <v>6540000000</v>
      </c>
      <c r="H36" s="4">
        <f t="shared" si="2"/>
        <v>6610000000</v>
      </c>
      <c r="I36" s="4">
        <f t="shared" si="2"/>
        <v>6580000000</v>
      </c>
      <c r="J36" s="4">
        <f t="shared" si="2"/>
        <v>6620000000</v>
      </c>
      <c r="K36" s="4">
        <f t="shared" si="2"/>
        <v>6620000000</v>
      </c>
      <c r="L36" s="4">
        <f t="shared" si="2"/>
        <v>6620000000</v>
      </c>
      <c r="M36" s="4">
        <f t="shared" si="2"/>
        <v>6620000000</v>
      </c>
      <c r="N36" s="4">
        <f t="shared" si="2"/>
        <v>6620000000</v>
      </c>
      <c r="O36" s="4">
        <f t="shared" si="2"/>
        <v>6620000000</v>
      </c>
      <c r="P36" s="4">
        <f t="shared" si="2"/>
        <v>6620000000</v>
      </c>
      <c r="Q36" s="4">
        <f t="shared" si="2"/>
        <v>6610000000</v>
      </c>
      <c r="R36" s="4">
        <f t="shared" si="2"/>
        <v>6530000000</v>
      </c>
      <c r="S36" s="4">
        <f t="shared" si="2"/>
        <v>6510000000</v>
      </c>
      <c r="T36" s="4">
        <f t="shared" si="2"/>
        <v>6580000000</v>
      </c>
      <c r="U36" s="4">
        <f t="shared" si="2"/>
        <v>6560000000</v>
      </c>
      <c r="V36" s="4">
        <f t="shared" si="2"/>
        <v>6620000000</v>
      </c>
      <c r="W36" s="4">
        <f t="shared" si="2"/>
        <v>6620000000</v>
      </c>
      <c r="X36" s="4">
        <f t="shared" si="2"/>
        <v>6580000000</v>
      </c>
      <c r="Y36" s="4">
        <f t="shared" si="2"/>
        <v>6620000000</v>
      </c>
      <c r="Z36" s="4">
        <f t="shared" si="2"/>
        <v>6440000000</v>
      </c>
      <c r="AA36" s="4">
        <f t="shared" si="2"/>
        <v>6220000000</v>
      </c>
    </row>
    <row r="37" spans="1:27" ht="15.75" customHeight="1" x14ac:dyDescent="0.15">
      <c r="A37" s="3" t="s">
        <v>100</v>
      </c>
      <c r="C37" s="3">
        <v>0.76</v>
      </c>
      <c r="D37" s="3">
        <v>0.81</v>
      </c>
      <c r="E37" s="3">
        <v>0.78</v>
      </c>
      <c r="F37" s="3">
        <v>0.73</v>
      </c>
      <c r="G37" s="3">
        <v>0.73</v>
      </c>
      <c r="H37" s="3">
        <v>0.75</v>
      </c>
      <c r="I37" s="3">
        <v>0.72</v>
      </c>
      <c r="J37" s="3">
        <v>0.68</v>
      </c>
      <c r="K37" s="3">
        <v>0.7</v>
      </c>
      <c r="L37" s="3">
        <v>0.71</v>
      </c>
      <c r="M37" s="3">
        <v>0.72</v>
      </c>
      <c r="N37" s="3">
        <v>0.7</v>
      </c>
      <c r="O37" s="3">
        <v>0.7</v>
      </c>
      <c r="P37" s="3">
        <v>0.72</v>
      </c>
      <c r="Q37" s="3">
        <v>0.69</v>
      </c>
      <c r="R37" s="3">
        <v>0.68</v>
      </c>
      <c r="S37" s="3">
        <v>0.68</v>
      </c>
      <c r="T37" s="3">
        <v>0.65</v>
      </c>
      <c r="U37" s="3">
        <v>0.66</v>
      </c>
      <c r="V37" s="3">
        <v>0.61</v>
      </c>
      <c r="W37" s="3">
        <v>0.56999999999999995</v>
      </c>
      <c r="X37" s="3">
        <v>0.65</v>
      </c>
      <c r="Y37" s="3">
        <v>0.66</v>
      </c>
      <c r="Z37" s="3">
        <v>0.64</v>
      </c>
      <c r="AA37" s="3">
        <v>0.6</v>
      </c>
    </row>
    <row r="38" spans="1:27" ht="15.75" customHeight="1" x14ac:dyDescent="0.15">
      <c r="A38" s="3" t="s">
        <v>101</v>
      </c>
      <c r="C38" s="3">
        <v>0.24</v>
      </c>
      <c r="D38" s="3">
        <v>0.26</v>
      </c>
      <c r="E38" s="3">
        <v>0.25</v>
      </c>
      <c r="F38" s="3">
        <v>0.24</v>
      </c>
      <c r="G38" s="3">
        <v>0.24</v>
      </c>
      <c r="H38" s="3">
        <v>0.24</v>
      </c>
      <c r="I38" s="3">
        <v>0.24</v>
      </c>
      <c r="J38" s="3">
        <v>0.23</v>
      </c>
      <c r="K38" s="3">
        <v>0.24</v>
      </c>
      <c r="L38" s="3">
        <v>0.24</v>
      </c>
      <c r="M38" s="3">
        <v>0.24</v>
      </c>
      <c r="N38" s="3">
        <v>0.24</v>
      </c>
      <c r="O38" s="3">
        <v>0.24</v>
      </c>
      <c r="P38" s="3">
        <v>0.23</v>
      </c>
      <c r="Q38" s="3">
        <v>0.22</v>
      </c>
      <c r="R38" s="3">
        <v>0.21</v>
      </c>
      <c r="S38" s="3">
        <v>0.2</v>
      </c>
      <c r="T38" s="3">
        <v>0.19</v>
      </c>
      <c r="U38" s="3">
        <v>0.19</v>
      </c>
      <c r="V38" s="3">
        <v>0.18</v>
      </c>
      <c r="W38" s="3">
        <v>0.16</v>
      </c>
      <c r="X38" s="3">
        <v>0.2</v>
      </c>
      <c r="Y38" s="3">
        <v>0.2</v>
      </c>
      <c r="Z38" s="3">
        <v>0.2</v>
      </c>
      <c r="AA38" s="3">
        <v>0.19</v>
      </c>
    </row>
    <row r="39" spans="1:27" ht="15.75" customHeight="1" x14ac:dyDescent="0.15">
      <c r="A39" s="3" t="s">
        <v>102</v>
      </c>
      <c r="C39" s="3">
        <v>130</v>
      </c>
      <c r="D39" s="3">
        <v>130</v>
      </c>
      <c r="E39" s="3">
        <v>130</v>
      </c>
      <c r="F39" s="3">
        <v>130</v>
      </c>
      <c r="G39" s="3">
        <v>120</v>
      </c>
      <c r="H39" s="3">
        <v>120</v>
      </c>
      <c r="I39" s="3">
        <v>120</v>
      </c>
      <c r="J39" s="3">
        <v>120</v>
      </c>
      <c r="K39" s="3">
        <v>110</v>
      </c>
      <c r="L39" s="3">
        <v>110</v>
      </c>
      <c r="M39" s="3">
        <v>110</v>
      </c>
      <c r="N39" s="3">
        <v>110</v>
      </c>
      <c r="O39" s="3">
        <v>110</v>
      </c>
      <c r="P39" s="3">
        <v>110</v>
      </c>
      <c r="Q39" s="3">
        <v>100</v>
      </c>
      <c r="R39" s="3">
        <v>100</v>
      </c>
      <c r="S39" s="3">
        <v>100</v>
      </c>
      <c r="T39" s="3">
        <v>90</v>
      </c>
      <c r="U39" s="3">
        <v>90</v>
      </c>
      <c r="V39" s="3">
        <v>90</v>
      </c>
      <c r="W39" s="3">
        <v>90</v>
      </c>
      <c r="X39" s="3">
        <v>100</v>
      </c>
      <c r="Y39" s="3">
        <v>100</v>
      </c>
      <c r="Z39" s="3">
        <v>100</v>
      </c>
      <c r="AA39" s="3">
        <v>100</v>
      </c>
    </row>
    <row r="40" spans="1:27" ht="15.75" customHeight="1" x14ac:dyDescent="0.15">
      <c r="A40" s="3" t="s">
        <v>103</v>
      </c>
      <c r="C40" s="3">
        <f t="shared" ref="C40:AA40" si="3">C37/100</f>
        <v>7.6E-3</v>
      </c>
      <c r="D40" s="3">
        <f t="shared" si="3"/>
        <v>8.1000000000000013E-3</v>
      </c>
      <c r="E40" s="3">
        <f t="shared" si="3"/>
        <v>7.8000000000000005E-3</v>
      </c>
      <c r="F40" s="3">
        <f t="shared" si="3"/>
        <v>7.3000000000000001E-3</v>
      </c>
      <c r="G40" s="3">
        <f t="shared" si="3"/>
        <v>7.3000000000000001E-3</v>
      </c>
      <c r="H40" s="3">
        <f t="shared" si="3"/>
        <v>7.4999999999999997E-3</v>
      </c>
      <c r="I40" s="3">
        <f t="shared" si="3"/>
        <v>7.1999999999999998E-3</v>
      </c>
      <c r="J40" s="3">
        <f t="shared" si="3"/>
        <v>6.8000000000000005E-3</v>
      </c>
      <c r="K40" s="3">
        <f t="shared" si="3"/>
        <v>6.9999999999999993E-3</v>
      </c>
      <c r="L40" s="3">
        <f t="shared" si="3"/>
        <v>7.0999999999999995E-3</v>
      </c>
      <c r="M40" s="3">
        <f t="shared" si="3"/>
        <v>7.1999999999999998E-3</v>
      </c>
      <c r="N40" s="3">
        <f t="shared" si="3"/>
        <v>6.9999999999999993E-3</v>
      </c>
      <c r="O40" s="3">
        <f t="shared" si="3"/>
        <v>6.9999999999999993E-3</v>
      </c>
      <c r="P40" s="3">
        <f t="shared" si="3"/>
        <v>7.1999999999999998E-3</v>
      </c>
      <c r="Q40" s="3">
        <f t="shared" si="3"/>
        <v>6.8999999999999999E-3</v>
      </c>
      <c r="R40" s="3">
        <f t="shared" si="3"/>
        <v>6.8000000000000005E-3</v>
      </c>
      <c r="S40" s="3">
        <f t="shared" si="3"/>
        <v>6.8000000000000005E-3</v>
      </c>
      <c r="T40" s="3">
        <f t="shared" si="3"/>
        <v>6.5000000000000006E-3</v>
      </c>
      <c r="U40" s="3">
        <f t="shared" si="3"/>
        <v>6.6E-3</v>
      </c>
      <c r="V40" s="3">
        <f t="shared" si="3"/>
        <v>6.0999999999999995E-3</v>
      </c>
      <c r="W40" s="3">
        <f t="shared" si="3"/>
        <v>5.6999999999999993E-3</v>
      </c>
      <c r="X40" s="3">
        <f t="shared" si="3"/>
        <v>6.5000000000000006E-3</v>
      </c>
      <c r="Y40" s="3">
        <f t="shared" si="3"/>
        <v>6.6E-3</v>
      </c>
      <c r="Z40" s="3">
        <f t="shared" si="3"/>
        <v>6.4000000000000003E-3</v>
      </c>
      <c r="AA40" s="3">
        <f t="shared" si="3"/>
        <v>6.0000000000000001E-3</v>
      </c>
    </row>
    <row r="41" spans="1:27" ht="15.75" customHeight="1" x14ac:dyDescent="0.15">
      <c r="A41" s="3" t="s">
        <v>104</v>
      </c>
      <c r="C41" s="3">
        <f t="shared" ref="C41:AA41" si="4">C38/100</f>
        <v>2.3999999999999998E-3</v>
      </c>
      <c r="D41" s="3">
        <f t="shared" si="4"/>
        <v>2.5999999999999999E-3</v>
      </c>
      <c r="E41" s="3">
        <f t="shared" si="4"/>
        <v>2.5000000000000001E-3</v>
      </c>
      <c r="F41" s="3">
        <f t="shared" si="4"/>
        <v>2.3999999999999998E-3</v>
      </c>
      <c r="G41" s="3">
        <f t="shared" si="4"/>
        <v>2.3999999999999998E-3</v>
      </c>
      <c r="H41" s="3">
        <f t="shared" si="4"/>
        <v>2.3999999999999998E-3</v>
      </c>
      <c r="I41" s="3">
        <f t="shared" si="4"/>
        <v>2.3999999999999998E-3</v>
      </c>
      <c r="J41" s="3">
        <f t="shared" si="4"/>
        <v>2.3E-3</v>
      </c>
      <c r="K41" s="3">
        <f t="shared" si="4"/>
        <v>2.3999999999999998E-3</v>
      </c>
      <c r="L41" s="3">
        <f t="shared" si="4"/>
        <v>2.3999999999999998E-3</v>
      </c>
      <c r="M41" s="3">
        <f t="shared" si="4"/>
        <v>2.3999999999999998E-3</v>
      </c>
      <c r="N41" s="3">
        <f t="shared" si="4"/>
        <v>2.3999999999999998E-3</v>
      </c>
      <c r="O41" s="3">
        <f t="shared" si="4"/>
        <v>2.3999999999999998E-3</v>
      </c>
      <c r="P41" s="3">
        <f t="shared" si="4"/>
        <v>2.3E-3</v>
      </c>
      <c r="Q41" s="3">
        <f t="shared" si="4"/>
        <v>2.2000000000000001E-3</v>
      </c>
      <c r="R41" s="3">
        <f t="shared" si="4"/>
        <v>2.0999999999999999E-3</v>
      </c>
      <c r="S41" s="3">
        <f t="shared" si="4"/>
        <v>2E-3</v>
      </c>
      <c r="T41" s="3">
        <f t="shared" si="4"/>
        <v>1.9E-3</v>
      </c>
      <c r="U41" s="3">
        <f t="shared" si="4"/>
        <v>1.9E-3</v>
      </c>
      <c r="V41" s="3">
        <f t="shared" si="4"/>
        <v>1.8E-3</v>
      </c>
      <c r="W41" s="3">
        <f t="shared" si="4"/>
        <v>1.6000000000000001E-3</v>
      </c>
      <c r="X41" s="3">
        <f t="shared" si="4"/>
        <v>2E-3</v>
      </c>
      <c r="Y41" s="3">
        <f t="shared" si="4"/>
        <v>2E-3</v>
      </c>
      <c r="Z41" s="3">
        <f t="shared" si="4"/>
        <v>2E-3</v>
      </c>
      <c r="AA41" s="3">
        <f t="shared" si="4"/>
        <v>1.9E-3</v>
      </c>
    </row>
    <row r="42" spans="1:27" ht="15.75" customHeight="1" x14ac:dyDescent="0.15">
      <c r="A42" s="3" t="s">
        <v>105</v>
      </c>
      <c r="C42" s="3">
        <f t="shared" ref="C42:AA42" si="5">C39/1000000</f>
        <v>1.2999999999999999E-4</v>
      </c>
      <c r="D42" s="3">
        <f t="shared" si="5"/>
        <v>1.2999999999999999E-4</v>
      </c>
      <c r="E42" s="3">
        <f t="shared" si="5"/>
        <v>1.2999999999999999E-4</v>
      </c>
      <c r="F42" s="3">
        <f t="shared" si="5"/>
        <v>1.2999999999999999E-4</v>
      </c>
      <c r="G42" s="3">
        <f t="shared" si="5"/>
        <v>1.2E-4</v>
      </c>
      <c r="H42" s="3">
        <f t="shared" si="5"/>
        <v>1.2E-4</v>
      </c>
      <c r="I42" s="3">
        <f t="shared" si="5"/>
        <v>1.2E-4</v>
      </c>
      <c r="J42" s="3">
        <f t="shared" si="5"/>
        <v>1.2E-4</v>
      </c>
      <c r="K42" s="3">
        <f t="shared" si="5"/>
        <v>1.1E-4</v>
      </c>
      <c r="L42" s="3">
        <f t="shared" si="5"/>
        <v>1.1E-4</v>
      </c>
      <c r="M42" s="3">
        <f t="shared" si="5"/>
        <v>1.1E-4</v>
      </c>
      <c r="N42" s="3">
        <f t="shared" si="5"/>
        <v>1.1E-4</v>
      </c>
      <c r="O42" s="3">
        <f t="shared" si="5"/>
        <v>1.1E-4</v>
      </c>
      <c r="P42" s="3">
        <f t="shared" si="5"/>
        <v>1.1E-4</v>
      </c>
      <c r="Q42" s="3">
        <f t="shared" si="5"/>
        <v>1E-4</v>
      </c>
      <c r="R42" s="3">
        <f t="shared" si="5"/>
        <v>1E-4</v>
      </c>
      <c r="S42" s="3">
        <f t="shared" si="5"/>
        <v>1E-4</v>
      </c>
      <c r="T42" s="3">
        <f t="shared" si="5"/>
        <v>9.0000000000000006E-5</v>
      </c>
      <c r="U42" s="3">
        <f t="shared" si="5"/>
        <v>9.0000000000000006E-5</v>
      </c>
      <c r="V42" s="3">
        <f t="shared" si="5"/>
        <v>9.0000000000000006E-5</v>
      </c>
      <c r="W42" s="3">
        <f t="shared" si="5"/>
        <v>9.0000000000000006E-5</v>
      </c>
      <c r="X42" s="3">
        <f t="shared" si="5"/>
        <v>1E-4</v>
      </c>
      <c r="Y42" s="3">
        <f t="shared" si="5"/>
        <v>1E-4</v>
      </c>
      <c r="Z42" s="3">
        <f t="shared" si="5"/>
        <v>1E-4</v>
      </c>
      <c r="AA42" s="3">
        <f t="shared" si="5"/>
        <v>1E-4</v>
      </c>
    </row>
    <row r="43" spans="1:27" ht="15.75" customHeight="1" x14ac:dyDescent="0.15">
      <c r="A43" s="3" t="s">
        <v>106</v>
      </c>
      <c r="C43" s="4">
        <f t="shared" ref="C43:AA43" si="6">C40*C36</f>
        <v>42104000</v>
      </c>
      <c r="D43" s="4">
        <f t="shared" si="6"/>
        <v>53622000.000000007</v>
      </c>
      <c r="E43" s="4">
        <f t="shared" si="6"/>
        <v>51636000</v>
      </c>
      <c r="F43" s="4">
        <f t="shared" si="6"/>
        <v>47961000</v>
      </c>
      <c r="G43" s="4">
        <f t="shared" si="6"/>
        <v>47742000</v>
      </c>
      <c r="H43" s="4">
        <f t="shared" si="6"/>
        <v>49575000</v>
      </c>
      <c r="I43" s="4">
        <f t="shared" si="6"/>
        <v>47376000</v>
      </c>
      <c r="J43" s="4">
        <f t="shared" si="6"/>
        <v>45016000</v>
      </c>
      <c r="K43" s="4">
        <f t="shared" si="6"/>
        <v>46339999.999999993</v>
      </c>
      <c r="L43" s="4">
        <f t="shared" si="6"/>
        <v>47002000</v>
      </c>
      <c r="M43" s="4">
        <f t="shared" si="6"/>
        <v>47664000</v>
      </c>
      <c r="N43" s="4">
        <f t="shared" si="6"/>
        <v>46339999.999999993</v>
      </c>
      <c r="O43" s="4">
        <f t="shared" si="6"/>
        <v>46339999.999999993</v>
      </c>
      <c r="P43" s="4">
        <f t="shared" si="6"/>
        <v>47664000</v>
      </c>
      <c r="Q43" s="4">
        <f t="shared" si="6"/>
        <v>45609000</v>
      </c>
      <c r="R43" s="4">
        <f t="shared" si="6"/>
        <v>44404000</v>
      </c>
      <c r="S43" s="4">
        <f t="shared" si="6"/>
        <v>44268000</v>
      </c>
      <c r="T43" s="4">
        <f t="shared" si="6"/>
        <v>42770000.000000007</v>
      </c>
      <c r="U43" s="4">
        <f t="shared" si="6"/>
        <v>43296000</v>
      </c>
      <c r="V43" s="4">
        <f t="shared" si="6"/>
        <v>40382000</v>
      </c>
      <c r="W43" s="4">
        <f t="shared" si="6"/>
        <v>37733999.999999993</v>
      </c>
      <c r="X43" s="4">
        <f t="shared" si="6"/>
        <v>42770000.000000007</v>
      </c>
      <c r="Y43" s="4">
        <f t="shared" si="6"/>
        <v>43692000</v>
      </c>
      <c r="Z43" s="4">
        <f t="shared" si="6"/>
        <v>41216000</v>
      </c>
      <c r="AA43" s="4">
        <f t="shared" si="6"/>
        <v>37320000</v>
      </c>
    </row>
    <row r="44" spans="1:27" ht="15.75" customHeight="1" x14ac:dyDescent="0.15">
      <c r="A44" s="3" t="s">
        <v>107</v>
      </c>
      <c r="C44" s="4">
        <f t="shared" ref="C44:AA44" si="7">C41*C36</f>
        <v>13295999.999999998</v>
      </c>
      <c r="D44" s="4">
        <f t="shared" si="7"/>
        <v>17212000</v>
      </c>
      <c r="E44" s="4">
        <f t="shared" si="7"/>
        <v>16550000</v>
      </c>
      <c r="F44" s="4">
        <f t="shared" si="7"/>
        <v>15767999.999999998</v>
      </c>
      <c r="G44" s="4">
        <f t="shared" si="7"/>
        <v>15695999.999999998</v>
      </c>
      <c r="H44" s="4">
        <f t="shared" si="7"/>
        <v>15863999.999999998</v>
      </c>
      <c r="I44" s="4">
        <f t="shared" si="7"/>
        <v>15791999.999999998</v>
      </c>
      <c r="J44" s="4">
        <f t="shared" si="7"/>
        <v>15226000</v>
      </c>
      <c r="K44" s="4">
        <f t="shared" si="7"/>
        <v>15887999.999999998</v>
      </c>
      <c r="L44" s="4">
        <f t="shared" si="7"/>
        <v>15887999.999999998</v>
      </c>
      <c r="M44" s="4">
        <f t="shared" si="7"/>
        <v>15887999.999999998</v>
      </c>
      <c r="N44" s="4">
        <f t="shared" si="7"/>
        <v>15887999.999999998</v>
      </c>
      <c r="O44" s="4">
        <f t="shared" si="7"/>
        <v>15887999.999999998</v>
      </c>
      <c r="P44" s="4">
        <f t="shared" si="7"/>
        <v>15226000</v>
      </c>
      <c r="Q44" s="4">
        <f t="shared" si="7"/>
        <v>14542000</v>
      </c>
      <c r="R44" s="4">
        <f t="shared" si="7"/>
        <v>13713000</v>
      </c>
      <c r="S44" s="4">
        <f t="shared" si="7"/>
        <v>13020000</v>
      </c>
      <c r="T44" s="4">
        <f t="shared" si="7"/>
        <v>12502000</v>
      </c>
      <c r="U44" s="4">
        <f t="shared" si="7"/>
        <v>12464000</v>
      </c>
      <c r="V44" s="4">
        <f t="shared" si="7"/>
        <v>11916000</v>
      </c>
      <c r="W44" s="4">
        <f t="shared" si="7"/>
        <v>10592000</v>
      </c>
      <c r="X44" s="4">
        <f t="shared" si="7"/>
        <v>13160000</v>
      </c>
      <c r="Y44" s="4">
        <f t="shared" si="7"/>
        <v>13240000</v>
      </c>
      <c r="Z44" s="4">
        <f t="shared" si="7"/>
        <v>12880000</v>
      </c>
      <c r="AA44" s="4">
        <f t="shared" si="7"/>
        <v>11818000</v>
      </c>
    </row>
    <row r="45" spans="1:27" ht="15.75" customHeight="1" x14ac:dyDescent="0.15">
      <c r="A45" s="3" t="s">
        <v>108</v>
      </c>
      <c r="C45" s="4">
        <f t="shared" ref="C45:AA45" si="8">C42*C36</f>
        <v>720199.99999999988</v>
      </c>
      <c r="D45" s="4">
        <f t="shared" si="8"/>
        <v>860599.99999999988</v>
      </c>
      <c r="E45" s="4">
        <f t="shared" si="8"/>
        <v>860599.99999999988</v>
      </c>
      <c r="F45" s="4">
        <f t="shared" si="8"/>
        <v>854099.99999999988</v>
      </c>
      <c r="G45" s="4">
        <f t="shared" si="8"/>
        <v>784800</v>
      </c>
      <c r="H45" s="4">
        <f t="shared" si="8"/>
        <v>793200</v>
      </c>
      <c r="I45" s="4">
        <f t="shared" si="8"/>
        <v>789600</v>
      </c>
      <c r="J45" s="4">
        <f t="shared" si="8"/>
        <v>794400</v>
      </c>
      <c r="K45" s="4">
        <f t="shared" si="8"/>
        <v>728200</v>
      </c>
      <c r="L45" s="4">
        <f t="shared" si="8"/>
        <v>728200</v>
      </c>
      <c r="M45" s="4">
        <f t="shared" si="8"/>
        <v>728200</v>
      </c>
      <c r="N45" s="4">
        <f t="shared" si="8"/>
        <v>728200</v>
      </c>
      <c r="O45" s="4">
        <f t="shared" si="8"/>
        <v>728200</v>
      </c>
      <c r="P45" s="4">
        <f t="shared" si="8"/>
        <v>728200</v>
      </c>
      <c r="Q45" s="4">
        <f t="shared" si="8"/>
        <v>661000</v>
      </c>
      <c r="R45" s="4">
        <f t="shared" si="8"/>
        <v>653000</v>
      </c>
      <c r="S45" s="4">
        <f t="shared" si="8"/>
        <v>651000</v>
      </c>
      <c r="T45" s="4">
        <f t="shared" si="8"/>
        <v>592200</v>
      </c>
      <c r="U45" s="4">
        <f t="shared" si="8"/>
        <v>590400</v>
      </c>
      <c r="V45" s="4">
        <f t="shared" si="8"/>
        <v>595800</v>
      </c>
      <c r="W45" s="4">
        <f t="shared" si="8"/>
        <v>595800</v>
      </c>
      <c r="X45" s="4">
        <f t="shared" si="8"/>
        <v>658000</v>
      </c>
      <c r="Y45" s="4">
        <f t="shared" si="8"/>
        <v>662000</v>
      </c>
      <c r="Z45" s="4">
        <f t="shared" si="8"/>
        <v>644000</v>
      </c>
      <c r="AA45" s="4">
        <f t="shared" si="8"/>
        <v>622000</v>
      </c>
    </row>
    <row r="46" spans="1:27" ht="15.75" customHeight="1" x14ac:dyDescent="0.15">
      <c r="A46" s="3" t="s">
        <v>29</v>
      </c>
      <c r="C46" s="4">
        <f t="shared" ref="C46:AA46" si="9">C43/$B$11</f>
        <v>2105200</v>
      </c>
      <c r="D46" s="4">
        <f t="shared" si="9"/>
        <v>2681100.0000000005</v>
      </c>
      <c r="E46" s="4">
        <f t="shared" si="9"/>
        <v>2581800</v>
      </c>
      <c r="F46" s="4">
        <f t="shared" si="9"/>
        <v>2398050</v>
      </c>
      <c r="G46" s="4">
        <f t="shared" si="9"/>
        <v>2387100</v>
      </c>
      <c r="H46" s="4">
        <f t="shared" si="9"/>
        <v>2478750</v>
      </c>
      <c r="I46" s="4">
        <f t="shared" si="9"/>
        <v>2368800</v>
      </c>
      <c r="J46" s="4">
        <f t="shared" si="9"/>
        <v>2250800</v>
      </c>
      <c r="K46" s="4">
        <f t="shared" si="9"/>
        <v>2316999.9999999995</v>
      </c>
      <c r="L46" s="4">
        <f t="shared" si="9"/>
        <v>2350100</v>
      </c>
      <c r="M46" s="4">
        <f t="shared" si="9"/>
        <v>2383200</v>
      </c>
      <c r="N46" s="4">
        <f t="shared" si="9"/>
        <v>2316999.9999999995</v>
      </c>
      <c r="O46" s="4">
        <f t="shared" si="9"/>
        <v>2316999.9999999995</v>
      </c>
      <c r="P46" s="4">
        <f t="shared" si="9"/>
        <v>2383200</v>
      </c>
      <c r="Q46" s="4">
        <f t="shared" si="9"/>
        <v>2280450</v>
      </c>
      <c r="R46" s="4">
        <f t="shared" si="9"/>
        <v>2220200</v>
      </c>
      <c r="S46" s="4">
        <f t="shared" si="9"/>
        <v>2213400</v>
      </c>
      <c r="T46" s="4">
        <f t="shared" si="9"/>
        <v>2138500.0000000005</v>
      </c>
      <c r="U46" s="4">
        <f t="shared" si="9"/>
        <v>2164800</v>
      </c>
      <c r="V46" s="4">
        <f t="shared" si="9"/>
        <v>2019100</v>
      </c>
      <c r="W46" s="4">
        <f t="shared" si="9"/>
        <v>1886699.9999999995</v>
      </c>
      <c r="X46" s="4">
        <f t="shared" si="9"/>
        <v>2138500.0000000005</v>
      </c>
      <c r="Y46" s="4">
        <f t="shared" si="9"/>
        <v>2184600</v>
      </c>
      <c r="Z46" s="4">
        <f t="shared" si="9"/>
        <v>2060800</v>
      </c>
      <c r="AA46" s="4">
        <f t="shared" si="9"/>
        <v>1866000</v>
      </c>
    </row>
    <row r="47" spans="1:27" ht="15.75" customHeight="1" x14ac:dyDescent="0.15">
      <c r="A47" s="3" t="s">
        <v>30</v>
      </c>
      <c r="C47" s="4">
        <f t="shared" ref="C47:AA47" si="10">C44/$B$7</f>
        <v>340923.07692307688</v>
      </c>
      <c r="D47" s="4">
        <f t="shared" si="10"/>
        <v>441333.33333333331</v>
      </c>
      <c r="E47" s="4">
        <f t="shared" si="10"/>
        <v>424358.97435897437</v>
      </c>
      <c r="F47" s="4">
        <f t="shared" si="10"/>
        <v>404307.69230769225</v>
      </c>
      <c r="G47" s="4">
        <f t="shared" si="10"/>
        <v>402461.53846153844</v>
      </c>
      <c r="H47" s="4">
        <f t="shared" si="10"/>
        <v>406769.23076923069</v>
      </c>
      <c r="I47" s="4">
        <f t="shared" si="10"/>
        <v>404923.07692307688</v>
      </c>
      <c r="J47" s="4">
        <f t="shared" si="10"/>
        <v>390410.25641025644</v>
      </c>
      <c r="K47" s="4">
        <f t="shared" si="10"/>
        <v>407384.61538461532</v>
      </c>
      <c r="L47" s="4">
        <f t="shared" si="10"/>
        <v>407384.61538461532</v>
      </c>
      <c r="M47" s="4">
        <f t="shared" si="10"/>
        <v>407384.61538461532</v>
      </c>
      <c r="N47" s="4">
        <f t="shared" si="10"/>
        <v>407384.61538461532</v>
      </c>
      <c r="O47" s="4">
        <f t="shared" si="10"/>
        <v>407384.61538461532</v>
      </c>
      <c r="P47" s="4">
        <f t="shared" si="10"/>
        <v>390410.25641025644</v>
      </c>
      <c r="Q47" s="4">
        <f t="shared" si="10"/>
        <v>372871.79487179487</v>
      </c>
      <c r="R47" s="4">
        <f t="shared" si="10"/>
        <v>351615.38461538462</v>
      </c>
      <c r="S47" s="4">
        <f t="shared" si="10"/>
        <v>333846.15384615387</v>
      </c>
      <c r="T47" s="4">
        <f t="shared" si="10"/>
        <v>320564.10256410256</v>
      </c>
      <c r="U47" s="4">
        <f t="shared" si="10"/>
        <v>319589.74358974356</v>
      </c>
      <c r="V47" s="4">
        <f t="shared" si="10"/>
        <v>305538.46153846156</v>
      </c>
      <c r="W47" s="4">
        <f t="shared" si="10"/>
        <v>271589.74358974356</v>
      </c>
      <c r="X47" s="4">
        <f t="shared" si="10"/>
        <v>337435.89743589744</v>
      </c>
      <c r="Y47" s="4">
        <f t="shared" si="10"/>
        <v>339487.1794871795</v>
      </c>
      <c r="Z47" s="4">
        <f t="shared" si="10"/>
        <v>330256.41025641025</v>
      </c>
      <c r="AA47" s="4">
        <f t="shared" si="10"/>
        <v>303025.641025641</v>
      </c>
    </row>
    <row r="48" spans="1:27" ht="15.75" customHeight="1" x14ac:dyDescent="0.15">
      <c r="A48" s="3" t="s">
        <v>31</v>
      </c>
      <c r="B48" s="15">
        <f>SUM(C48:AA48)</f>
        <v>3550380</v>
      </c>
      <c r="C48" s="4">
        <f t="shared" ref="C48:AA48" si="11">C45/$B$6</f>
        <v>144039.99999999997</v>
      </c>
      <c r="D48" s="4">
        <f t="shared" si="11"/>
        <v>172119.99999999997</v>
      </c>
      <c r="E48" s="4">
        <f t="shared" si="11"/>
        <v>172119.99999999997</v>
      </c>
      <c r="F48" s="4">
        <f t="shared" si="11"/>
        <v>170819.99999999997</v>
      </c>
      <c r="G48" s="4">
        <f t="shared" si="11"/>
        <v>156960</v>
      </c>
      <c r="H48" s="4">
        <f t="shared" si="11"/>
        <v>158640</v>
      </c>
      <c r="I48" s="4">
        <f t="shared" si="11"/>
        <v>157920</v>
      </c>
      <c r="J48" s="4">
        <f t="shared" si="11"/>
        <v>158880</v>
      </c>
      <c r="K48" s="4">
        <f t="shared" si="11"/>
        <v>145640</v>
      </c>
      <c r="L48" s="4">
        <f t="shared" si="11"/>
        <v>145640</v>
      </c>
      <c r="M48" s="4">
        <f t="shared" si="11"/>
        <v>145640</v>
      </c>
      <c r="N48" s="4">
        <f t="shared" si="11"/>
        <v>145640</v>
      </c>
      <c r="O48" s="4">
        <f t="shared" si="11"/>
        <v>145640</v>
      </c>
      <c r="P48" s="4">
        <f t="shared" si="11"/>
        <v>145640</v>
      </c>
      <c r="Q48" s="4">
        <f t="shared" si="11"/>
        <v>132200</v>
      </c>
      <c r="R48" s="4">
        <f t="shared" si="11"/>
        <v>130600</v>
      </c>
      <c r="S48" s="4">
        <f t="shared" si="11"/>
        <v>130200</v>
      </c>
      <c r="T48" s="4">
        <f t="shared" si="11"/>
        <v>118440</v>
      </c>
      <c r="U48" s="4">
        <f t="shared" si="11"/>
        <v>118080</v>
      </c>
      <c r="V48" s="4">
        <f t="shared" si="11"/>
        <v>119160</v>
      </c>
      <c r="W48" s="4">
        <f t="shared" si="11"/>
        <v>119160</v>
      </c>
      <c r="X48" s="4">
        <f t="shared" si="11"/>
        <v>131600</v>
      </c>
      <c r="Y48" s="4">
        <f t="shared" si="11"/>
        <v>132400</v>
      </c>
      <c r="Z48" s="4">
        <f t="shared" si="11"/>
        <v>128800</v>
      </c>
      <c r="AA48" s="4">
        <f t="shared" si="11"/>
        <v>124400</v>
      </c>
    </row>
  </sheetData>
  <mergeCells count="1">
    <mergeCell ref="A32:J32"/>
  </mergeCells>
  <hyperlinks>
    <hyperlink ref="A1" r:id="rId1" xr:uid="{00000000-0004-0000-0200-000000000000}"/>
    <hyperlink ref="A3" r:id="rId2" xr:uid="{00000000-0004-0000-0200-000001000000}"/>
  </hyperlink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12"/>
  <sheetViews>
    <sheetView workbookViewId="0"/>
  </sheetViews>
  <sheetFormatPr baseColWidth="10" defaultColWidth="12.6640625" defaultRowHeight="15.75" customHeight="1" x14ac:dyDescent="0.15"/>
  <sheetData>
    <row r="1" spans="1:2" ht="15.75" customHeight="1" x14ac:dyDescent="0.15">
      <c r="A1" s="3" t="s">
        <v>109</v>
      </c>
    </row>
    <row r="2" spans="1:2" ht="15.75" customHeight="1" x14ac:dyDescent="0.15">
      <c r="A2" s="20" t="s">
        <v>110</v>
      </c>
      <c r="B2" s="3" t="s">
        <v>111</v>
      </c>
    </row>
    <row r="4" spans="1:2" ht="15.75" customHeight="1" x14ac:dyDescent="0.15">
      <c r="A4" s="3" t="s">
        <v>112</v>
      </c>
    </row>
    <row r="6" spans="1:2" ht="15.75" customHeight="1" x14ac:dyDescent="0.15">
      <c r="A6" s="3" t="s">
        <v>113</v>
      </c>
    </row>
    <row r="11" spans="1:2" ht="15.75" customHeight="1" x14ac:dyDescent="0.15">
      <c r="A11" s="3" t="s">
        <v>114</v>
      </c>
    </row>
    <row r="12" spans="1:2" ht="15.75" customHeight="1" x14ac:dyDescent="0.15">
      <c r="A12" s="8" t="s">
        <v>115</v>
      </c>
    </row>
  </sheetData>
  <hyperlinks>
    <hyperlink ref="A12" r:id="rId1" xr:uid="{00000000-0004-0000-03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EVs and CO2 benefits</vt:lpstr>
      <vt:lpstr>New Range</vt:lpstr>
      <vt:lpstr>Twin Metals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 Smith</cp:lastModifiedBy>
  <dcterms:created xsi:type="dcterms:W3CDTF">2024-04-22T21:12:03Z</dcterms:created>
  <dcterms:modified xsi:type="dcterms:W3CDTF">2024-04-22T21:12:03Z</dcterms:modified>
</cp:coreProperties>
</file>