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yanalimento/Desktop/BTI/Africa/Fertilizer/"/>
    </mc:Choice>
  </mc:AlternateContent>
  <xr:revisionPtr revIDLastSave="0" documentId="13_ncr:1_{C20DDE7B-12B6-D445-ADE8-D613BFD3E7D7}" xr6:coauthVersionLast="47" xr6:coauthVersionMax="47" xr10:uidLastSave="{00000000-0000-0000-0000-000000000000}"/>
  <bookViews>
    <workbookView xWindow="4440" yWindow="760" windowWidth="25800" windowHeight="17740" activeTab="4" xr2:uid="{FBFBE446-9BFE-E142-97F6-0FED26FD0560}"/>
  </bookViews>
  <sheets>
    <sheet name="Summary" sheetId="9" r:id="rId1"/>
    <sheet name="H2" sheetId="14" r:id="rId2"/>
    <sheet name="NH3" sheetId="10" r:id="rId3"/>
    <sheet name="Direct Air Capture" sheetId="11" r:id="rId4"/>
    <sheet name="Urea" sheetId="3" r:id="rId5"/>
    <sheet name="Intermediate Calculation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37" i="3" l="1"/>
  <c r="BM36" i="3"/>
  <c r="BM35" i="3"/>
  <c r="BM34" i="3"/>
  <c r="BE5" i="3"/>
  <c r="I9" i="9"/>
  <c r="G9" i="9"/>
  <c r="H9" i="9"/>
  <c r="F9" i="9"/>
  <c r="E9" i="9"/>
  <c r="D9" i="9"/>
  <c r="C9" i="9"/>
  <c r="L53" i="3"/>
  <c r="H37" i="11"/>
  <c r="F37" i="11" s="1"/>
  <c r="H18" i="11"/>
  <c r="H23" i="11"/>
  <c r="F23" i="11" s="1"/>
  <c r="J23" i="11"/>
  <c r="J22" i="14"/>
  <c r="I45" i="3"/>
  <c r="S45" i="3"/>
  <c r="S46" i="3" s="1"/>
  <c r="D47" i="11"/>
  <c r="I47" i="11"/>
  <c r="S17" i="11"/>
  <c r="S18" i="11" s="1"/>
  <c r="D46" i="10"/>
  <c r="I46" i="10"/>
  <c r="S64" i="10"/>
  <c r="S65" i="10" s="1"/>
  <c r="I44" i="14"/>
  <c r="D44" i="14"/>
  <c r="S16" i="14"/>
  <c r="S17" i="14" s="1"/>
  <c r="U42" i="10"/>
  <c r="U43" i="10" s="1"/>
  <c r="M4" i="14"/>
  <c r="S29" i="14"/>
  <c r="T29" i="14"/>
  <c r="S36" i="14"/>
  <c r="S38" i="14"/>
  <c r="S39" i="14"/>
  <c r="S40" i="14"/>
  <c r="S37" i="14"/>
  <c r="R36" i="14"/>
  <c r="D9" i="14"/>
  <c r="Q27" i="14"/>
  <c r="I54" i="10"/>
  <c r="I55" i="11"/>
  <c r="L55" i="11" s="1"/>
  <c r="S39" i="3"/>
  <c r="M4" i="3" s="1"/>
  <c r="L51" i="3" s="1"/>
  <c r="R21" i="3"/>
  <c r="S21" i="3" s="1"/>
  <c r="H18" i="3" s="1"/>
  <c r="S20" i="3"/>
  <c r="S19" i="3"/>
  <c r="S16" i="3"/>
  <c r="D5" i="3" s="1"/>
  <c r="H14" i="3" s="1"/>
  <c r="AF47" i="3"/>
  <c r="AO55" i="3"/>
  <c r="AG24" i="3" s="1"/>
  <c r="AP28" i="3"/>
  <c r="AE38" i="3" s="1"/>
  <c r="AP27" i="3"/>
  <c r="AE37" i="3" s="1"/>
  <c r="AP19" i="3"/>
  <c r="AE19" i="3" s="1"/>
  <c r="AP20" i="3"/>
  <c r="AE20" i="3" s="1"/>
  <c r="AP21" i="3"/>
  <c r="AP23" i="3"/>
  <c r="AE24" i="3" s="1"/>
  <c r="AP24" i="3"/>
  <c r="AE25" i="3" s="1"/>
  <c r="AP18" i="3"/>
  <c r="AA6" i="3" s="1"/>
  <c r="AO20" i="3"/>
  <c r="AO22" i="3" s="1"/>
  <c r="AP22" i="3" s="1"/>
  <c r="AO48" i="3"/>
  <c r="AO49" i="3" s="1"/>
  <c r="AP44" i="3"/>
  <c r="AQ43" i="3"/>
  <c r="AQ42" i="3"/>
  <c r="AQ37" i="3"/>
  <c r="AQ36" i="3"/>
  <c r="AQ35" i="3"/>
  <c r="AQ34" i="3"/>
  <c r="AP38" i="3"/>
  <c r="BA46" i="3"/>
  <c r="BK48" i="3"/>
  <c r="BK49" i="3" s="1"/>
  <c r="BL44" i="3"/>
  <c r="BM43" i="3"/>
  <c r="BM42" i="3"/>
  <c r="BL24" i="3"/>
  <c r="BL29" i="3"/>
  <c r="AZ37" i="3" s="1"/>
  <c r="BL28" i="3"/>
  <c r="AZ36" i="3" s="1"/>
  <c r="BL23" i="3"/>
  <c r="AZ25" i="3" s="1"/>
  <c r="BL37" i="3"/>
  <c r="BL36" i="3"/>
  <c r="BL35" i="3"/>
  <c r="BL34" i="3"/>
  <c r="BL19" i="3"/>
  <c r="BL18" i="3"/>
  <c r="AZ15" i="3" s="1"/>
  <c r="BK20" i="3"/>
  <c r="BL20" i="3" s="1"/>
  <c r="AZ20" i="3" s="1"/>
  <c r="BA54" i="3"/>
  <c r="BD54" i="3" s="1"/>
  <c r="BB36" i="3"/>
  <c r="AG25" i="3"/>
  <c r="AZ60" i="3"/>
  <c r="AX60" i="3"/>
  <c r="AV8" i="3"/>
  <c r="I52" i="14"/>
  <c r="AF55" i="3"/>
  <c r="AI55" i="3" s="1"/>
  <c r="AG37" i="3"/>
  <c r="AE61" i="3"/>
  <c r="AC61" i="3"/>
  <c r="AA8" i="3"/>
  <c r="H23" i="3"/>
  <c r="R15" i="10"/>
  <c r="R14" i="10"/>
  <c r="H30" i="11"/>
  <c r="F30" i="11" s="1"/>
  <c r="Z73" i="11"/>
  <c r="Z74" i="11" s="1"/>
  <c r="Y66" i="11"/>
  <c r="Y68" i="11"/>
  <c r="Y69" i="11" s="1"/>
  <c r="H36" i="11" s="1"/>
  <c r="J31" i="11"/>
  <c r="J38" i="11"/>
  <c r="AB57" i="11"/>
  <c r="AB58" i="11" s="1"/>
  <c r="H31" i="11" s="1"/>
  <c r="F31" i="11" s="1"/>
  <c r="F19" i="11" s="1"/>
  <c r="H19" i="11" s="1"/>
  <c r="L19" i="11" s="1"/>
  <c r="N19" i="11" s="1"/>
  <c r="Y57" i="11"/>
  <c r="D5" i="11"/>
  <c r="H20" i="11" s="1"/>
  <c r="Z44" i="11"/>
  <c r="Z40" i="11"/>
  <c r="AA36" i="11"/>
  <c r="Z36" i="11"/>
  <c r="V25" i="11" s="1"/>
  <c r="V26" i="11" s="1"/>
  <c r="H61" i="11"/>
  <c r="F61" i="11"/>
  <c r="J36" i="11"/>
  <c r="H15" i="11"/>
  <c r="H14" i="11"/>
  <c r="D7" i="11"/>
  <c r="B29" i="9"/>
  <c r="U26" i="3"/>
  <c r="U27" i="3" s="1"/>
  <c r="H35" i="3" s="1"/>
  <c r="J35" i="3"/>
  <c r="H36" i="3"/>
  <c r="F22" i="3"/>
  <c r="H93" i="3"/>
  <c r="J89" i="3"/>
  <c r="K85" i="3"/>
  <c r="J85" i="3"/>
  <c r="T38" i="3" s="1"/>
  <c r="H59" i="3"/>
  <c r="F59" i="3"/>
  <c r="N31" i="3"/>
  <c r="L31" i="3"/>
  <c r="D7" i="3"/>
  <c r="H35" i="14"/>
  <c r="F35" i="14" s="1"/>
  <c r="F36" i="10"/>
  <c r="D5" i="14"/>
  <c r="H22" i="14" s="1"/>
  <c r="D5" i="10"/>
  <c r="F34" i="14" s="1"/>
  <c r="H34" i="14" s="1"/>
  <c r="F59" i="14"/>
  <c r="F22" i="14"/>
  <c r="F23" i="14" s="1"/>
  <c r="F18" i="14"/>
  <c r="F19" i="14" s="1"/>
  <c r="S52" i="14"/>
  <c r="R40" i="14"/>
  <c r="R39" i="14"/>
  <c r="R38" i="14"/>
  <c r="R37" i="14"/>
  <c r="S56" i="14"/>
  <c r="H58" i="14"/>
  <c r="F58" i="14"/>
  <c r="J34" i="14"/>
  <c r="D7" i="14"/>
  <c r="U9" i="14" s="1"/>
  <c r="AX7" i="14"/>
  <c r="AW9" i="14"/>
  <c r="AW11" i="14" s="1"/>
  <c r="AX9" i="14"/>
  <c r="AW10" i="14"/>
  <c r="AX10" i="14"/>
  <c r="AW12" i="14"/>
  <c r="AX12" i="14"/>
  <c r="AW13" i="14"/>
  <c r="AX13" i="14"/>
  <c r="AW19" i="14"/>
  <c r="AX19" i="14"/>
  <c r="AW21" i="14"/>
  <c r="AX28" i="14"/>
  <c r="H61" i="10"/>
  <c r="F61" i="10"/>
  <c r="J36" i="10"/>
  <c r="F23" i="10"/>
  <c r="F22" i="10"/>
  <c r="F18" i="10"/>
  <c r="F19" i="10" s="1"/>
  <c r="D7" i="10"/>
  <c r="V8" i="10" s="1"/>
  <c r="J30" i="10"/>
  <c r="S30" i="10"/>
  <c r="H37" i="10"/>
  <c r="S26" i="10"/>
  <c r="R60" i="14"/>
  <c r="T52" i="14"/>
  <c r="X37" i="10"/>
  <c r="Y37" i="10" s="1"/>
  <c r="D45" i="3" l="1"/>
  <c r="T25" i="11"/>
  <c r="T26" i="11" s="1"/>
  <c r="U25" i="11"/>
  <c r="U26" i="11" s="1"/>
  <c r="J36" i="3"/>
  <c r="L36" i="3" s="1"/>
  <c r="N36" i="3" s="1"/>
  <c r="AB75" i="11"/>
  <c r="Z75" i="11"/>
  <c r="Y75" i="11" s="1"/>
  <c r="AA68" i="11"/>
  <c r="J37" i="11"/>
  <c r="L37" i="11" s="1"/>
  <c r="N37" i="11" s="1"/>
  <c r="L34" i="14"/>
  <c r="N34" i="14" s="1"/>
  <c r="N36" i="14" s="1"/>
  <c r="R16" i="10"/>
  <c r="H14" i="14"/>
  <c r="H18" i="14"/>
  <c r="H19" i="14" s="1"/>
  <c r="L35" i="14"/>
  <c r="H36" i="10"/>
  <c r="L36" i="10" s="1"/>
  <c r="H23" i="10"/>
  <c r="L23" i="10" s="1"/>
  <c r="N23" i="10" s="1"/>
  <c r="H18" i="10"/>
  <c r="L18" i="10" s="1"/>
  <c r="F37" i="10"/>
  <c r="AQ44" i="3"/>
  <c r="AI32" i="3" s="1"/>
  <c r="AI33" i="3" s="1"/>
  <c r="BM44" i="3"/>
  <c r="BD31" i="3" s="1"/>
  <c r="AA47" i="3"/>
  <c r="AE15" i="3"/>
  <c r="AQ38" i="3"/>
  <c r="AJ5" i="3" s="1"/>
  <c r="BL38" i="3"/>
  <c r="BM38" i="3"/>
  <c r="BD32" i="3"/>
  <c r="AV46" i="3"/>
  <c r="BD46" i="3" s="1"/>
  <c r="AV6" i="3"/>
  <c r="BF31" i="3" s="1"/>
  <c r="BK21" i="3"/>
  <c r="BL21" i="3" s="1"/>
  <c r="AZ21" i="3" s="1"/>
  <c r="BK22" i="3"/>
  <c r="BL22" i="3" s="1"/>
  <c r="BB25" i="3"/>
  <c r="AI25" i="3"/>
  <c r="AI47" i="3"/>
  <c r="AI48" i="3" s="1"/>
  <c r="AI49" i="3" s="1"/>
  <c r="BB37" i="3"/>
  <c r="L48" i="3"/>
  <c r="AG38" i="3"/>
  <c r="F23" i="3"/>
  <c r="F24" i="3" s="1"/>
  <c r="M5" i="3"/>
  <c r="F36" i="11"/>
  <c r="L31" i="11"/>
  <c r="N31" i="11" s="1"/>
  <c r="S25" i="11"/>
  <c r="S26" i="11" s="1"/>
  <c r="W25" i="11"/>
  <c r="W26" i="11" s="1"/>
  <c r="X25" i="11"/>
  <c r="X26" i="11" s="1"/>
  <c r="Y58" i="11"/>
  <c r="H38" i="11" s="1"/>
  <c r="F38" i="11" s="1"/>
  <c r="F18" i="11"/>
  <c r="L36" i="11"/>
  <c r="N36" i="11" s="1"/>
  <c r="L23" i="11"/>
  <c r="L24" i="11" s="1"/>
  <c r="L26" i="11" s="1"/>
  <c r="W5" i="11" s="1"/>
  <c r="F36" i="3"/>
  <c r="F18" i="3"/>
  <c r="F19" i="3" s="1"/>
  <c r="H19" i="3" s="1"/>
  <c r="F35" i="3"/>
  <c r="L35" i="3"/>
  <c r="T37" i="3"/>
  <c r="U37" i="3" s="1"/>
  <c r="U38" i="3"/>
  <c r="H22" i="3"/>
  <c r="H24" i="3" s="1"/>
  <c r="T35" i="3"/>
  <c r="T36" i="3"/>
  <c r="U36" i="3" s="1"/>
  <c r="H15" i="3"/>
  <c r="H23" i="14"/>
  <c r="U29" i="14"/>
  <c r="D59" i="14" s="1"/>
  <c r="U10" i="14"/>
  <c r="H15" i="14"/>
  <c r="N35" i="14"/>
  <c r="T30" i="14"/>
  <c r="T31" i="14" s="1"/>
  <c r="L46" i="10"/>
  <c r="L47" i="10" s="1"/>
  <c r="N47" i="10" s="1"/>
  <c r="L30" i="14"/>
  <c r="N30" i="14"/>
  <c r="U7" i="14"/>
  <c r="U8" i="14"/>
  <c r="L18" i="14"/>
  <c r="AX11" i="14"/>
  <c r="AX14" i="14" s="1"/>
  <c r="AX15" i="14" s="1"/>
  <c r="AX16" i="14" s="1"/>
  <c r="AW14" i="14"/>
  <c r="AW15" i="14" s="1"/>
  <c r="F24" i="10"/>
  <c r="H22" i="10"/>
  <c r="S14" i="10"/>
  <c r="L37" i="10"/>
  <c r="N37" i="10" s="1"/>
  <c r="V6" i="10"/>
  <c r="V9" i="10"/>
  <c r="S15" i="10"/>
  <c r="T15" i="10" s="1"/>
  <c r="V7" i="10"/>
  <c r="L36" i="14" l="1"/>
  <c r="S16" i="10"/>
  <c r="M4" i="10" s="1"/>
  <c r="S30" i="14"/>
  <c r="U30" i="14" s="1"/>
  <c r="L50" i="14" s="1"/>
  <c r="T39" i="3"/>
  <c r="BD47" i="3"/>
  <c r="BF47" i="3" s="1"/>
  <c r="BF46" i="3"/>
  <c r="AK47" i="3"/>
  <c r="AK48" i="3"/>
  <c r="AK49" i="3"/>
  <c r="N39" i="11"/>
  <c r="L38" i="11"/>
  <c r="N38" i="11" s="1"/>
  <c r="L39" i="11"/>
  <c r="L18" i="11"/>
  <c r="N23" i="11"/>
  <c r="N24" i="11" s="1"/>
  <c r="N26" i="11" s="1"/>
  <c r="M6" i="3"/>
  <c r="L37" i="3"/>
  <c r="U35" i="3"/>
  <c r="U39" i="3" s="1"/>
  <c r="N35" i="3"/>
  <c r="S31" i="14"/>
  <c r="U31" i="14" s="1"/>
  <c r="N46" i="10"/>
  <c r="N18" i="14"/>
  <c r="N19" i="14" s="1"/>
  <c r="L19" i="14"/>
  <c r="AW16" i="14"/>
  <c r="H30" i="10"/>
  <c r="L30" i="10" s="1"/>
  <c r="F30" i="10"/>
  <c r="T14" i="10"/>
  <c r="T16" i="10" s="1"/>
  <c r="L48" i="10"/>
  <c r="N48" i="10" s="1"/>
  <c r="U46" i="10"/>
  <c r="H19" i="10"/>
  <c r="N36" i="10"/>
  <c r="N38" i="10" s="1"/>
  <c r="L38" i="10"/>
  <c r="N37" i="3" l="1"/>
  <c r="N18" i="11"/>
  <c r="N20" i="11" s="1"/>
  <c r="L49" i="10"/>
  <c r="L52" i="10"/>
  <c r="BD48" i="3"/>
  <c r="BF48" i="3" s="1"/>
  <c r="M8" i="14"/>
  <c r="D58" i="14" s="1"/>
  <c r="L47" i="14"/>
  <c r="N50" i="14"/>
  <c r="L20" i="11"/>
  <c r="V10" i="3"/>
  <c r="M7" i="3"/>
  <c r="M8" i="3"/>
  <c r="D59" i="3" s="1"/>
  <c r="N48" i="3"/>
  <c r="M5" i="14"/>
  <c r="M5" i="10"/>
  <c r="M6" i="10" s="1"/>
  <c r="N18" i="10"/>
  <c r="N19" i="10" s="1"/>
  <c r="L19" i="10"/>
  <c r="L32" i="10"/>
  <c r="L40" i="10" s="1"/>
  <c r="L67" i="10" s="1"/>
  <c r="N30" i="10"/>
  <c r="N32" i="10" s="1"/>
  <c r="B34" i="9"/>
  <c r="CE26" i="14"/>
  <c r="CE25" i="14"/>
  <c r="CE24" i="14"/>
  <c r="CD19" i="14"/>
  <c r="BW26" i="14"/>
  <c r="BW25" i="14"/>
  <c r="BW24" i="14"/>
  <c r="BV19" i="14"/>
  <c r="BP26" i="14"/>
  <c r="BP25" i="14"/>
  <c r="BP24" i="14"/>
  <c r="BO19" i="14"/>
  <c r="BH26" i="14"/>
  <c r="BH25" i="14"/>
  <c r="BH24" i="14"/>
  <c r="BG19" i="14"/>
  <c r="AZ26" i="14"/>
  <c r="AZ25" i="14"/>
  <c r="AZ24" i="14"/>
  <c r="AY4" i="14"/>
  <c r="J61" i="11" l="1"/>
  <c r="BB60" i="3"/>
  <c r="J59" i="3"/>
  <c r="L59" i="3" s="1"/>
  <c r="L61" i="3" s="1"/>
  <c r="AG61" i="3"/>
  <c r="J58" i="14"/>
  <c r="L58" i="14" s="1"/>
  <c r="N58" i="14" s="1"/>
  <c r="J59" i="14"/>
  <c r="L59" i="14" s="1"/>
  <c r="N59" i="14" s="1"/>
  <c r="J61" i="10"/>
  <c r="AI50" i="3"/>
  <c r="AI53" i="3"/>
  <c r="AI37" i="3"/>
  <c r="BD37" i="3"/>
  <c r="BD36" i="3"/>
  <c r="BD25" i="3"/>
  <c r="AJ6" i="3"/>
  <c r="AJ9" i="3"/>
  <c r="L51" i="14"/>
  <c r="N51" i="14" s="1"/>
  <c r="L52" i="3"/>
  <c r="N52" i="3" s="1"/>
  <c r="N51" i="3"/>
  <c r="N47" i="14"/>
  <c r="U11" i="14"/>
  <c r="M7" i="14"/>
  <c r="M6" i="14"/>
  <c r="M7" i="10"/>
  <c r="M8" i="10" s="1"/>
  <c r="V10" i="10"/>
  <c r="N49" i="10"/>
  <c r="L51" i="10"/>
  <c r="N51" i="10" s="1"/>
  <c r="BL7" i="14"/>
  <c r="BM7" i="14" s="1"/>
  <c r="BL6" i="14"/>
  <c r="BM6" i="14" s="1"/>
  <c r="BD7" i="14"/>
  <c r="BE7" i="14" s="1"/>
  <c r="BD6" i="14"/>
  <c r="BE6" i="14" s="1"/>
  <c r="BT7" i="14"/>
  <c r="BU7" i="14" s="1"/>
  <c r="BZ7" i="14"/>
  <c r="CA7" i="14" s="1"/>
  <c r="AI38" i="3"/>
  <c r="CB21" i="14"/>
  <c r="BT21" i="14"/>
  <c r="BM21" i="14"/>
  <c r="BE21" i="14"/>
  <c r="CC28" i="14"/>
  <c r="CE28" i="14" s="1"/>
  <c r="BU28" i="14"/>
  <c r="BW28" i="14" s="1"/>
  <c r="BN28" i="14"/>
  <c r="BP28" i="14" s="1"/>
  <c r="BF28" i="14"/>
  <c r="BH28" i="14" s="1"/>
  <c r="CD23" i="14"/>
  <c r="CD22" i="14"/>
  <c r="BV23" i="14"/>
  <c r="BV22" i="14"/>
  <c r="BO23" i="14"/>
  <c r="BO22" i="14"/>
  <c r="BG22" i="14"/>
  <c r="BG23" i="14"/>
  <c r="CB19" i="14"/>
  <c r="CE19" i="14" s="1"/>
  <c r="BT19" i="14"/>
  <c r="BW19" i="14" s="1"/>
  <c r="BM19" i="14"/>
  <c r="BP19" i="14" s="1"/>
  <c r="BE19" i="14"/>
  <c r="BH19" i="14" s="1"/>
  <c r="CC21" i="14"/>
  <c r="CD21" i="14" s="1"/>
  <c r="BU21" i="14"/>
  <c r="BV21" i="14" s="1"/>
  <c r="BN21" i="14"/>
  <c r="BO21" i="14" s="1"/>
  <c r="BF21" i="14"/>
  <c r="BG21" i="14" s="1"/>
  <c r="BT6" i="14"/>
  <c r="BU6" i="14" s="1"/>
  <c r="CA5" i="14"/>
  <c r="BU5" i="14"/>
  <c r="BM5" i="14"/>
  <c r="BE5" i="14"/>
  <c r="AY5" i="14"/>
  <c r="BZ6" i="14"/>
  <c r="CA6" i="14" s="1"/>
  <c r="AY7" i="14"/>
  <c r="CA4" i="14"/>
  <c r="BU4" i="14"/>
  <c r="BM4" i="14"/>
  <c r="BE4" i="14"/>
  <c r="CD13" i="14"/>
  <c r="CC13" i="14"/>
  <c r="CB13" i="14"/>
  <c r="CA13" i="14"/>
  <c r="BZ13" i="14"/>
  <c r="BV13" i="14"/>
  <c r="BU13" i="14"/>
  <c r="BT13" i="14"/>
  <c r="BS13" i="14"/>
  <c r="BO13" i="14"/>
  <c r="BN13" i="14"/>
  <c r="BM13" i="14"/>
  <c r="BL13" i="14"/>
  <c r="BK13" i="14"/>
  <c r="BG13" i="14"/>
  <c r="BF13" i="14"/>
  <c r="BE13" i="14"/>
  <c r="BD13" i="14"/>
  <c r="BC13" i="14"/>
  <c r="AY13" i="14"/>
  <c r="CD12" i="14"/>
  <c r="CC12" i="14"/>
  <c r="CB12" i="14"/>
  <c r="CA12" i="14"/>
  <c r="BZ12" i="14"/>
  <c r="BV12" i="14"/>
  <c r="BU12" i="14"/>
  <c r="BT12" i="14"/>
  <c r="BS12" i="14"/>
  <c r="BO12" i="14"/>
  <c r="BN12" i="14"/>
  <c r="BM12" i="14"/>
  <c r="BL12" i="14"/>
  <c r="BK12" i="14"/>
  <c r="BG12" i="14"/>
  <c r="BF12" i="14"/>
  <c r="BE12" i="14"/>
  <c r="BD12" i="14"/>
  <c r="BC12" i="14"/>
  <c r="AY12" i="14"/>
  <c r="CD10" i="14"/>
  <c r="CC10" i="14"/>
  <c r="CB10" i="14"/>
  <c r="CA10" i="14"/>
  <c r="BZ10" i="14"/>
  <c r="BV10" i="14"/>
  <c r="BU10" i="14"/>
  <c r="BT10" i="14"/>
  <c r="BS10" i="14"/>
  <c r="BO10" i="14"/>
  <c r="BN10" i="14"/>
  <c r="BM10" i="14"/>
  <c r="BL10" i="14"/>
  <c r="BK10" i="14"/>
  <c r="BG10" i="14"/>
  <c r="BF10" i="14"/>
  <c r="BE10" i="14"/>
  <c r="BD10" i="14"/>
  <c r="BC10" i="14"/>
  <c r="AY10" i="14"/>
  <c r="CD9" i="14"/>
  <c r="CC9" i="14"/>
  <c r="CB9" i="14"/>
  <c r="CA9" i="14"/>
  <c r="BZ9" i="14"/>
  <c r="BV9" i="14"/>
  <c r="BU9" i="14"/>
  <c r="BT9" i="14"/>
  <c r="BS9" i="14"/>
  <c r="BO9" i="14"/>
  <c r="BN9" i="14"/>
  <c r="BM9" i="14"/>
  <c r="BL9" i="14"/>
  <c r="BK9" i="14"/>
  <c r="BG9" i="14"/>
  <c r="BF9" i="14"/>
  <c r="BE9" i="14"/>
  <c r="BD9" i="14"/>
  <c r="BC9" i="14"/>
  <c r="AY9" i="14"/>
  <c r="AZ28" i="14"/>
  <c r="AY19" i="14"/>
  <c r="BG24" i="14"/>
  <c r="AY24" i="14"/>
  <c r="AY21" i="14"/>
  <c r="N61" i="14" l="1"/>
  <c r="N59" i="3"/>
  <c r="N61" i="3" s="1"/>
  <c r="AJ7" i="3"/>
  <c r="AR11" i="3"/>
  <c r="AI39" i="3"/>
  <c r="AJ8" i="3"/>
  <c r="AI52" i="3"/>
  <c r="BD26" i="3"/>
  <c r="BD52" i="3"/>
  <c r="BD49" i="3"/>
  <c r="BE9" i="3"/>
  <c r="BE6" i="3"/>
  <c r="BE7" i="3" s="1"/>
  <c r="BD38" i="3"/>
  <c r="BF37" i="3"/>
  <c r="BD20" i="3"/>
  <c r="AI24" i="3"/>
  <c r="AE26" i="3"/>
  <c r="AI20" i="3"/>
  <c r="AA61" i="3"/>
  <c r="AI61" i="3" s="1"/>
  <c r="AI54" i="3"/>
  <c r="AK54" i="3" s="1"/>
  <c r="L61" i="14"/>
  <c r="D61" i="10"/>
  <c r="L53" i="10"/>
  <c r="N53" i="10" s="1"/>
  <c r="N52" i="10"/>
  <c r="AZ19" i="14"/>
  <c r="BW21" i="14"/>
  <c r="CE21" i="14"/>
  <c r="BH21" i="14"/>
  <c r="AZ21" i="14"/>
  <c r="BP21" i="14"/>
  <c r="BZ11" i="14"/>
  <c r="BZ14" i="14" s="1"/>
  <c r="BZ15" i="14" s="1"/>
  <c r="BL11" i="14"/>
  <c r="BL14" i="14" s="1"/>
  <c r="BL15" i="14" s="1"/>
  <c r="BL16" i="14" s="1"/>
  <c r="AY11" i="14"/>
  <c r="AY14" i="14" s="1"/>
  <c r="AY15" i="14" s="1"/>
  <c r="BW12" i="14"/>
  <c r="BW13" i="14"/>
  <c r="AZ10" i="14"/>
  <c r="BP10" i="14"/>
  <c r="CE13" i="14"/>
  <c r="CC11" i="14"/>
  <c r="CC14" i="14" s="1"/>
  <c r="AZ9" i="14"/>
  <c r="BH9" i="14"/>
  <c r="BN11" i="14"/>
  <c r="BN14" i="14" s="1"/>
  <c r="CB11" i="14"/>
  <c r="CB14" i="14" s="1"/>
  <c r="CB15" i="14" s="1"/>
  <c r="AZ13" i="14"/>
  <c r="BP13" i="14"/>
  <c r="BD11" i="14"/>
  <c r="BD14" i="14" s="1"/>
  <c r="BO11" i="14"/>
  <c r="BO14" i="14" s="1"/>
  <c r="BO15" i="14" s="1"/>
  <c r="BO16" i="14" s="1"/>
  <c r="AZ12" i="14"/>
  <c r="BG11" i="14"/>
  <c r="BG14" i="14" s="1"/>
  <c r="BU11" i="14"/>
  <c r="BU14" i="14" s="1"/>
  <c r="BU15" i="14" s="1"/>
  <c r="BH13" i="14"/>
  <c r="BS11" i="14"/>
  <c r="BS14" i="14" s="1"/>
  <c r="BS15" i="14" s="1"/>
  <c r="BP12" i="14"/>
  <c r="BH12" i="14"/>
  <c r="BH10" i="14"/>
  <c r="BE11" i="14"/>
  <c r="BE14" i="14" s="1"/>
  <c r="BF11" i="14"/>
  <c r="BF14" i="14" s="1"/>
  <c r="BK11" i="14"/>
  <c r="BK14" i="14" s="1"/>
  <c r="BK15" i="14" s="1"/>
  <c r="BW10" i="14"/>
  <c r="CD11" i="14"/>
  <c r="CD14" i="14" s="1"/>
  <c r="CD15" i="14" s="1"/>
  <c r="BP9" i="14"/>
  <c r="BW9" i="14"/>
  <c r="CE12" i="14"/>
  <c r="CE9" i="14"/>
  <c r="BM11" i="14"/>
  <c r="BM14" i="14" s="1"/>
  <c r="BM15" i="14" s="1"/>
  <c r="CA11" i="14"/>
  <c r="CA14" i="14" s="1"/>
  <c r="BV11" i="14"/>
  <c r="BV14" i="14" s="1"/>
  <c r="CE10" i="14"/>
  <c r="BT11" i="14"/>
  <c r="BT14" i="14" s="1"/>
  <c r="BC11" i="14"/>
  <c r="BC14" i="14" s="1"/>
  <c r="BC15" i="14" s="1"/>
  <c r="B36" i="9"/>
  <c r="M14" i="7"/>
  <c r="L14" i="7"/>
  <c r="B20" i="9"/>
  <c r="B2" i="7" s="1"/>
  <c r="B4" i="7" s="1"/>
  <c r="L47" i="11" l="1"/>
  <c r="L45" i="3"/>
  <c r="L44" i="14"/>
  <c r="AK52" i="3"/>
  <c r="AX20" i="3"/>
  <c r="AX22" i="3" s="1"/>
  <c r="AZ22" i="3" s="1"/>
  <c r="BF20" i="3"/>
  <c r="BF52" i="3"/>
  <c r="AI26" i="3"/>
  <c r="AR6" i="3" s="1"/>
  <c r="AC25" i="3"/>
  <c r="AK32" i="3"/>
  <c r="AK33" i="3" s="1"/>
  <c r="AK25" i="3"/>
  <c r="AC37" i="3"/>
  <c r="AK50" i="3"/>
  <c r="BE8" i="3"/>
  <c r="AK53" i="3"/>
  <c r="AC24" i="3"/>
  <c r="BF49" i="3"/>
  <c r="BD51" i="3"/>
  <c r="BF51" i="3" s="1"/>
  <c r="BD53" i="3"/>
  <c r="BF53" i="3" s="1"/>
  <c r="AV60" i="3"/>
  <c r="BD60" i="3" s="1"/>
  <c r="BD21" i="3"/>
  <c r="BF21" i="3" s="1"/>
  <c r="AX21" i="3"/>
  <c r="BO11" i="3"/>
  <c r="BO6" i="3"/>
  <c r="BF54" i="3"/>
  <c r="AZ16" i="3"/>
  <c r="BF32" i="3"/>
  <c r="AX36" i="3"/>
  <c r="AX25" i="3"/>
  <c r="AX37" i="3"/>
  <c r="BF36" i="3"/>
  <c r="BF38" i="3" s="1"/>
  <c r="BF25" i="3"/>
  <c r="BF26" i="3" s="1"/>
  <c r="AK24" i="3"/>
  <c r="AC19" i="3"/>
  <c r="AC38" i="3"/>
  <c r="AE16" i="3"/>
  <c r="AK38" i="3"/>
  <c r="AK37" i="3"/>
  <c r="AK20" i="3"/>
  <c r="AC20" i="3"/>
  <c r="AK61" i="3"/>
  <c r="AK63" i="3" s="1"/>
  <c r="AI63" i="3"/>
  <c r="L61" i="10"/>
  <c r="N61" i="10" s="1"/>
  <c r="N63" i="10" s="1"/>
  <c r="CC15" i="14"/>
  <c r="CC16" i="14" s="1"/>
  <c r="AZ11" i="14"/>
  <c r="AZ14" i="14" s="1"/>
  <c r="BH11" i="14"/>
  <c r="AY16" i="14"/>
  <c r="BU16" i="14"/>
  <c r="CD16" i="14"/>
  <c r="CE14" i="14"/>
  <c r="BZ16" i="14"/>
  <c r="CB16" i="14"/>
  <c r="CE11" i="14"/>
  <c r="BP11" i="14"/>
  <c r="BM16" i="14"/>
  <c r="BD15" i="14"/>
  <c r="BN15" i="14"/>
  <c r="BP15" i="14" s="1"/>
  <c r="BF15" i="14"/>
  <c r="BF16" i="14" s="1"/>
  <c r="BE15" i="14"/>
  <c r="BE16" i="14" s="1"/>
  <c r="BV15" i="14"/>
  <c r="BV16" i="14" s="1"/>
  <c r="BT15" i="14"/>
  <c r="BT16" i="14" s="1"/>
  <c r="BG15" i="14"/>
  <c r="BG16" i="14" s="1"/>
  <c r="AZ15" i="14"/>
  <c r="CA15" i="14"/>
  <c r="BW14" i="14"/>
  <c r="BW11" i="14"/>
  <c r="BH14" i="14"/>
  <c r="BK16" i="14"/>
  <c r="BP14" i="14"/>
  <c r="C20" i="9"/>
  <c r="B6" i="7"/>
  <c r="B7" i="7" s="1"/>
  <c r="B10" i="7"/>
  <c r="B11" i="7" s="1"/>
  <c r="N45" i="3" l="1"/>
  <c r="L46" i="3"/>
  <c r="N46" i="3" s="1"/>
  <c r="L50" i="3"/>
  <c r="N50" i="3" s="1"/>
  <c r="L48" i="11"/>
  <c r="N48" i="11" s="1"/>
  <c r="N47" i="11"/>
  <c r="L45" i="14"/>
  <c r="N44" i="14"/>
  <c r="L49" i="14"/>
  <c r="N49" i="14" s="1"/>
  <c r="AC21" i="3"/>
  <c r="AE21" i="3" s="1"/>
  <c r="AK26" i="3"/>
  <c r="BD56" i="3"/>
  <c r="BD67" i="3" s="1"/>
  <c r="BF56" i="3"/>
  <c r="BF67" i="3" s="1"/>
  <c r="BD62" i="3"/>
  <c r="BF60" i="3"/>
  <c r="BF62" i="3" s="1"/>
  <c r="AK39" i="3"/>
  <c r="L63" i="10"/>
  <c r="CE15" i="14"/>
  <c r="AZ16" i="14"/>
  <c r="BH15" i="14"/>
  <c r="BW15" i="14"/>
  <c r="BD16" i="14"/>
  <c r="BN16" i="14"/>
  <c r="BP16" i="14" s="1"/>
  <c r="CA16" i="14"/>
  <c r="CE16" i="14" s="1"/>
  <c r="BC16" i="14"/>
  <c r="BS16" i="14"/>
  <c r="BW16" i="14" s="1"/>
  <c r="B21" i="9"/>
  <c r="C21" i="9" s="1"/>
  <c r="B5" i="7"/>
  <c r="B22" i="9" s="1"/>
  <c r="C22" i="9" s="1"/>
  <c r="B8" i="7"/>
  <c r="L47" i="3" l="1"/>
  <c r="N47" i="3" s="1"/>
  <c r="L49" i="11"/>
  <c r="N49" i="11" s="1"/>
  <c r="L46" i="14"/>
  <c r="N46" i="14" s="1"/>
  <c r="N45" i="14"/>
  <c r="AZ33" i="14"/>
  <c r="AZ34" i="14"/>
  <c r="AZ32" i="14"/>
  <c r="AZ31" i="14"/>
  <c r="BH16" i="14"/>
  <c r="BW31" i="14"/>
  <c r="BW33" i="14"/>
  <c r="BW32" i="14"/>
  <c r="BW34" i="14"/>
  <c r="CE34" i="14"/>
  <c r="CE31" i="14"/>
  <c r="CE33" i="14"/>
  <c r="CE32" i="14"/>
  <c r="BP34" i="14"/>
  <c r="BP33" i="14"/>
  <c r="BP32" i="14"/>
  <c r="BP31" i="14"/>
  <c r="B9" i="7"/>
  <c r="B12" i="7"/>
  <c r="B13" i="7" s="1"/>
  <c r="AZ35" i="14" l="1"/>
  <c r="AZ39" i="14" s="1"/>
  <c r="BH31" i="14"/>
  <c r="BH34" i="14"/>
  <c r="BH33" i="14"/>
  <c r="BH32" i="14"/>
  <c r="CE35" i="14"/>
  <c r="BP35" i="14"/>
  <c r="BW35" i="14"/>
  <c r="B23" i="9"/>
  <c r="C23" i="9" s="1"/>
  <c r="B24" i="9"/>
  <c r="C24" i="9" s="1"/>
  <c r="B14" i="7"/>
  <c r="BP36" i="14" l="1"/>
  <c r="BP38" i="14" s="1"/>
  <c r="BP39" i="14"/>
  <c r="CE36" i="14"/>
  <c r="CE38" i="14" s="1"/>
  <c r="CE39" i="14"/>
  <c r="BW36" i="14"/>
  <c r="BW38" i="14" s="1"/>
  <c r="BW39" i="14"/>
  <c r="AZ36" i="14"/>
  <c r="AZ38" i="14" s="1"/>
  <c r="BH35" i="14"/>
  <c r="BH39" i="14" s="1"/>
  <c r="AZ37" i="14"/>
  <c r="BW37" i="14"/>
  <c r="CE37" i="14"/>
  <c r="BP37" i="14"/>
  <c r="BH36" i="14" l="1"/>
  <c r="BH38" i="14" s="1"/>
  <c r="BH37" i="14"/>
  <c r="L22" i="14" l="1"/>
  <c r="L23" i="14" l="1"/>
  <c r="N22" i="14"/>
  <c r="N23" i="14" s="1"/>
  <c r="N38" i="14" s="1"/>
  <c r="N65" i="14" s="1"/>
  <c r="U6" i="14" l="1"/>
  <c r="M9" i="14" s="1"/>
  <c r="L38" i="14"/>
  <c r="L65" i="14" s="1"/>
  <c r="L52" i="14" l="1"/>
  <c r="N52" i="14" l="1"/>
  <c r="N54" i="14" s="1"/>
  <c r="N66" i="14" s="1"/>
  <c r="N67" i="14" s="1"/>
  <c r="N69" i="14" s="1"/>
  <c r="N70" i="14" s="1"/>
  <c r="B3" i="9" s="1"/>
  <c r="L54" i="14"/>
  <c r="L66" i="14" s="1"/>
  <c r="L67" i="14" s="1"/>
  <c r="L69" i="14" s="1"/>
  <c r="L70" i="14" s="1"/>
  <c r="J14" i="14" l="1"/>
  <c r="L14" i="14" s="1"/>
  <c r="J22" i="10"/>
  <c r="L22" i="10" s="1"/>
  <c r="L24" i="10" l="1"/>
  <c r="V5" i="10"/>
  <c r="N22" i="10"/>
  <c r="N24" i="10" s="1"/>
  <c r="N40" i="10" s="1"/>
  <c r="N67" i="10" s="1"/>
  <c r="N14" i="14"/>
  <c r="N15" i="14" s="1"/>
  <c r="N25" i="14" s="1"/>
  <c r="L15" i="14"/>
  <c r="L25" i="14" s="1"/>
  <c r="L54" i="10" l="1"/>
  <c r="L56" i="10" s="1"/>
  <c r="M9" i="10"/>
  <c r="N54" i="10" l="1"/>
  <c r="L68" i="10"/>
  <c r="N56" i="10" l="1"/>
  <c r="N68" i="10" s="1"/>
  <c r="N69" i="10" s="1"/>
  <c r="N71" i="10" s="1"/>
  <c r="N72" i="10" s="1"/>
  <c r="L69" i="10"/>
  <c r="L71" i="10" s="1"/>
  <c r="L72" i="10" s="1"/>
  <c r="B4" i="9" l="1"/>
  <c r="AG19" i="3" l="1"/>
  <c r="AI19" i="3" s="1"/>
  <c r="AK19" i="3" s="1"/>
  <c r="AK21" i="3" s="1"/>
  <c r="AK41" i="3" s="1"/>
  <c r="AK67" i="3" s="1"/>
  <c r="BB19" i="3"/>
  <c r="BD19" i="3" s="1"/>
  <c r="J18" i="3"/>
  <c r="L18" i="3" s="1"/>
  <c r="L19" i="3" s="1"/>
  <c r="J23" i="3"/>
  <c r="L23" i="3" s="1"/>
  <c r="N23" i="3" s="1"/>
  <c r="J30" i="11"/>
  <c r="L30" i="11" s="1"/>
  <c r="N30" i="11" s="1"/>
  <c r="N32" i="11" s="1"/>
  <c r="J14" i="10"/>
  <c r="L14" i="10" s="1"/>
  <c r="N14" i="10" s="1"/>
  <c r="N15" i="10" s="1"/>
  <c r="N26" i="10" s="1"/>
  <c r="N41" i="11" l="1"/>
  <c r="N67" i="11" s="1"/>
  <c r="AI21" i="3"/>
  <c r="AI41" i="3" s="1"/>
  <c r="AI67" i="3" s="1"/>
  <c r="BD22" i="3"/>
  <c r="BD40" i="3" s="1"/>
  <c r="BD66" i="3" s="1"/>
  <c r="BD68" i="3" s="1"/>
  <c r="BF19" i="3"/>
  <c r="BF22" i="3" s="1"/>
  <c r="BF40" i="3" s="1"/>
  <c r="BF66" i="3" s="1"/>
  <c r="BF68" i="3" s="1"/>
  <c r="BF70" i="3" s="1"/>
  <c r="BF71" i="3" s="1"/>
  <c r="N18" i="3"/>
  <c r="N19" i="3" s="1"/>
  <c r="L32" i="11"/>
  <c r="L41" i="11" s="1"/>
  <c r="L67" i="11" s="1"/>
  <c r="L15" i="10"/>
  <c r="L26" i="10" s="1"/>
  <c r="BB15" i="3" l="1"/>
  <c r="BD15" i="3" s="1"/>
  <c r="BD70" i="3"/>
  <c r="BD71" i="3" s="1"/>
  <c r="BO7" i="3"/>
  <c r="BO10" i="3"/>
  <c r="BO8" i="3"/>
  <c r="BO9" i="3"/>
  <c r="Y24" i="11"/>
  <c r="M4" i="11" s="1"/>
  <c r="Y26" i="11"/>
  <c r="Y25" i="11"/>
  <c r="BE10" i="3" l="1"/>
  <c r="BF15" i="3"/>
  <c r="BF16" i="3" s="1"/>
  <c r="BF27" i="3" s="1"/>
  <c r="BD16" i="3"/>
  <c r="BD27" i="3" s="1"/>
  <c r="L53" i="11"/>
  <c r="N53" i="11" s="1"/>
  <c r="L50" i="11"/>
  <c r="L52" i="11" s="1"/>
  <c r="N52" i="11" s="1"/>
  <c r="M5" i="11"/>
  <c r="W10" i="11" s="1"/>
  <c r="M8" i="11"/>
  <c r="M7" i="11" l="1"/>
  <c r="M6" i="11"/>
  <c r="D61" i="11"/>
  <c r="L61" i="11" s="1"/>
  <c r="N61" i="11" s="1"/>
  <c r="L54" i="11"/>
  <c r="N54" i="11" s="1"/>
  <c r="N50" i="11"/>
  <c r="N63" i="11" l="1"/>
  <c r="L63" i="11"/>
  <c r="N55" i="11"/>
  <c r="N57" i="11" s="1"/>
  <c r="L57" i="11"/>
  <c r="N68" i="11" l="1"/>
  <c r="N69" i="11" s="1"/>
  <c r="N71" i="11" s="1"/>
  <c r="N72" i="11" s="1"/>
  <c r="J22" i="3" s="1"/>
  <c r="L68" i="11"/>
  <c r="L69" i="11" s="1"/>
  <c r="L22" i="3" l="1"/>
  <c r="L24" i="3" s="1"/>
  <c r="B5" i="9"/>
  <c r="J14" i="11"/>
  <c r="L14" i="11" s="1"/>
  <c r="L15" i="11" s="1"/>
  <c r="L71" i="11"/>
  <c r="L72" i="11" s="1"/>
  <c r="W7" i="11"/>
  <c r="W8" i="11"/>
  <c r="W9" i="11"/>
  <c r="W6" i="11"/>
  <c r="N22" i="3"/>
  <c r="N24" i="3" l="1"/>
  <c r="N39" i="3" s="1"/>
  <c r="N65" i="3" s="1"/>
  <c r="N14" i="11"/>
  <c r="N15" i="11" s="1"/>
  <c r="L39" i="3"/>
  <c r="L65" i="3" s="1"/>
  <c r="V5" i="3"/>
  <c r="M9" i="11"/>
  <c r="AK55" i="3" l="1"/>
  <c r="AK57" i="3" s="1"/>
  <c r="AK68" i="3" s="1"/>
  <c r="AK69" i="3" s="1"/>
  <c r="AK71" i="3" s="1"/>
  <c r="AK72" i="3" s="1"/>
  <c r="AI57" i="3"/>
  <c r="AI68" i="3" s="1"/>
  <c r="AI69" i="3" s="1"/>
  <c r="AR10" i="3" l="1"/>
  <c r="AR9" i="3"/>
  <c r="AR8" i="3"/>
  <c r="AR7" i="3"/>
  <c r="AG15" i="3"/>
  <c r="AI15" i="3" s="1"/>
  <c r="AI16" i="3" s="1"/>
  <c r="AI28" i="3" s="1"/>
  <c r="AI71" i="3"/>
  <c r="AI72" i="3" s="1"/>
  <c r="AK15" i="3" l="1"/>
  <c r="AK16" i="3" s="1"/>
  <c r="AK28" i="3" s="1"/>
  <c r="AJ10" i="3"/>
  <c r="N53" i="3" l="1"/>
  <c r="N55" i="3" s="1"/>
  <c r="L55" i="3"/>
  <c r="L66" i="3" s="1"/>
  <c r="L67" i="3" s="1"/>
  <c r="N66" i="3" l="1"/>
  <c r="N67" i="3" s="1"/>
  <c r="N69" i="3" s="1"/>
  <c r="N70" i="3" s="1"/>
  <c r="J14" i="3" s="1"/>
  <c r="L14" i="3" s="1"/>
  <c r="N14" i="3" s="1"/>
  <c r="N15" i="3" s="1"/>
  <c r="N26" i="3" s="1"/>
  <c r="V8" i="3"/>
  <c r="V6" i="3"/>
  <c r="V7" i="3"/>
  <c r="V9" i="3"/>
  <c r="L69" i="3"/>
  <c r="L70" i="3" s="1"/>
  <c r="B6" i="9" l="1"/>
  <c r="B9" i="9" s="1"/>
  <c r="L15" i="3"/>
  <c r="L26" i="3" s="1"/>
  <c r="M9" i="3"/>
  <c r="H24" i="10"/>
</calcChain>
</file>

<file path=xl/sharedStrings.xml><?xml version="1.0" encoding="utf-8"?>
<sst xmlns="http://schemas.openxmlformats.org/spreadsheetml/2006/main" count="1359" uniqueCount="386">
  <si>
    <t>GJ/yr</t>
  </si>
  <si>
    <t>Units</t>
  </si>
  <si>
    <t>CAPEX</t>
  </si>
  <si>
    <t>Compound</t>
  </si>
  <si>
    <t>H2</t>
  </si>
  <si>
    <t>NH3</t>
  </si>
  <si>
    <t>MW</t>
  </si>
  <si>
    <t>--</t>
  </si>
  <si>
    <t>LCOA</t>
  </si>
  <si>
    <t>Interest Rate</t>
  </si>
  <si>
    <t>Electrolyzer</t>
  </si>
  <si>
    <t>NH3 Synthesis</t>
  </si>
  <si>
    <t>Total</t>
  </si>
  <si>
    <t>$M/yr</t>
  </si>
  <si>
    <t>Catalysts</t>
  </si>
  <si>
    <t>Maintenance</t>
  </si>
  <si>
    <t>Annualized CAPEX</t>
  </si>
  <si>
    <t>N2</t>
  </si>
  <si>
    <t>Urea</t>
  </si>
  <si>
    <t>Molar Mass</t>
  </si>
  <si>
    <t>CO(NH2)2</t>
  </si>
  <si>
    <t>Ammonia</t>
  </si>
  <si>
    <t>Reactions</t>
  </si>
  <si>
    <t>CO2</t>
  </si>
  <si>
    <t>tons chemical fertilizer per year (assume urea which is 46-0-0, CO(NH2)2, 60.06 g/mol)</t>
  </si>
  <si>
    <t>Carbon Dioxide</t>
  </si>
  <si>
    <t>Common Name</t>
  </si>
  <si>
    <t>Ammonia (total)</t>
  </si>
  <si>
    <t>CRF</t>
  </si>
  <si>
    <t>MWh</t>
  </si>
  <si>
    <t>Electricity</t>
  </si>
  <si>
    <t>Labor</t>
  </si>
  <si>
    <t>Other</t>
  </si>
  <si>
    <t>Key Variables</t>
  </si>
  <si>
    <t>Lifetime (years)</t>
  </si>
  <si>
    <t>Daily</t>
  </si>
  <si>
    <t>Yearly</t>
  </si>
  <si>
    <t>Urea (tpy)</t>
  </si>
  <si>
    <t>Ammonia (tpy)</t>
  </si>
  <si>
    <t>Hydrogen (tpy)</t>
  </si>
  <si>
    <t>Water (tpy)</t>
  </si>
  <si>
    <t>H2O</t>
  </si>
  <si>
    <t>O2</t>
  </si>
  <si>
    <t>Hydrogen</t>
  </si>
  <si>
    <t>tons</t>
  </si>
  <si>
    <t>Hydrogen Gas</t>
  </si>
  <si>
    <t>Nitrogen Gas</t>
  </si>
  <si>
    <t>Nitrogen</t>
  </si>
  <si>
    <t>Water</t>
  </si>
  <si>
    <t>Days</t>
  </si>
  <si>
    <t>m3</t>
  </si>
  <si>
    <t>Electricity costs (USD/kWh)</t>
  </si>
  <si>
    <t>Mmol</t>
  </si>
  <si>
    <t>Operating time, normal</t>
  </si>
  <si>
    <t>N_OL = (6.29 + 31.7P^2 + 0.23N_np)^0.5</t>
  </si>
  <si>
    <t>Operators per shift, N_OL</t>
  </si>
  <si>
    <t># equipment per plant</t>
  </si>
  <si>
    <t>Salary ($USD/yr)</t>
  </si>
  <si>
    <t>Direct Air Capture</t>
  </si>
  <si>
    <t>Process Water ($ / m3)</t>
  </si>
  <si>
    <t>External heat costs (USD/kWh)</t>
  </si>
  <si>
    <t>LCOH</t>
  </si>
  <si>
    <t>Water use (tpy)</t>
  </si>
  <si>
    <t>Carbon dioxide (tpy)</t>
  </si>
  <si>
    <t>Air Contactor</t>
  </si>
  <si>
    <t>Mass Flows</t>
  </si>
  <si>
    <t>Chemicals</t>
  </si>
  <si>
    <t>MWh/yr</t>
  </si>
  <si>
    <t>HEX, 2019$</t>
  </si>
  <si>
    <t>P-H3, 2019 $</t>
  </si>
  <si>
    <t>P-H2, 2019$</t>
  </si>
  <si>
    <t>P-H1, 2019$</t>
  </si>
  <si>
    <t>Pumps (M$)</t>
  </si>
  <si>
    <t>Grey</t>
  </si>
  <si>
    <t>hourly</t>
  </si>
  <si>
    <t>yearly</t>
  </si>
  <si>
    <t xml:space="preserve">Water </t>
  </si>
  <si>
    <t>Electricity Generated</t>
  </si>
  <si>
    <t>Price (USD/MWh)</t>
  </si>
  <si>
    <t>H2 production</t>
  </si>
  <si>
    <t># workers</t>
  </si>
  <si>
    <t>Maintenance (1.5% TPC)</t>
  </si>
  <si>
    <t>Direct material</t>
  </si>
  <si>
    <t>Construction</t>
  </si>
  <si>
    <t>Direct field cost</t>
  </si>
  <si>
    <t>Other costs</t>
  </si>
  <si>
    <t>EPC services</t>
  </si>
  <si>
    <t>Total installed cost</t>
  </si>
  <si>
    <t>Total plant cost (TPC)</t>
  </si>
  <si>
    <t>Project contingency (20% TIC)</t>
  </si>
  <si>
    <t>Hydrogen Plant</t>
  </si>
  <si>
    <t>Power Island</t>
  </si>
  <si>
    <t>Utilities &amp; BoP</t>
  </si>
  <si>
    <t>Blue, Capture from PSA Tail Gas w/ MDEA</t>
  </si>
  <si>
    <t>Blue, Capture from Syngas w/ MDEA</t>
  </si>
  <si>
    <t>Blue, Capture from PSA Tail Gas w/ Cryo tech</t>
  </si>
  <si>
    <t>Blue, Capture from Flue Gas w/ MDEA</t>
  </si>
  <si>
    <t>CO2 Capture</t>
  </si>
  <si>
    <t>CO2 Compression</t>
  </si>
  <si>
    <t>CO2 Capture + Compression</t>
  </si>
  <si>
    <t xml:space="preserve"> </t>
  </si>
  <si>
    <t>Natural Gas (as Feedstock)</t>
  </si>
  <si>
    <t>Natural Gas (as Fuel)</t>
  </si>
  <si>
    <t>GJ/IOOO Nm3 1-12</t>
  </si>
  <si>
    <t>Feed + Fuel</t>
  </si>
  <si>
    <t>GJ/IOOO Nm3 H2</t>
  </si>
  <si>
    <t>SPECIFIC EMISSIONS</t>
  </si>
  <si>
    <t>Specific C02 Emission</t>
  </si>
  <si>
    <t>Specific C02 Captured</t>
  </si>
  <si>
    <t>t/1000 Nm3 H2</t>
  </si>
  <si>
    <t>Overall C02 Capture Rate (Case Specific)</t>
  </si>
  <si>
    <t>Overall C02 Capture Rate (as Compared to Base Case)</t>
  </si>
  <si>
    <t>H2 Production, Nm3</t>
  </si>
  <si>
    <t>as fuel</t>
  </si>
  <si>
    <t>MW-e</t>
  </si>
  <si>
    <t>Insurance (0.5% TPC)</t>
  </si>
  <si>
    <t>Local taxes (0.5% TPC)</t>
  </si>
  <si>
    <t>ton / MMBTU</t>
  </si>
  <si>
    <t>$ / MMBTU</t>
  </si>
  <si>
    <t>Contingency</t>
  </si>
  <si>
    <t>Ammonia/Urea</t>
  </si>
  <si>
    <t>Urea Production</t>
  </si>
  <si>
    <t>Ammonia Production</t>
  </si>
  <si>
    <t>CO2 Emissions</t>
  </si>
  <si>
    <t>CO2 Stored</t>
  </si>
  <si>
    <t>CO2 in urea</t>
  </si>
  <si>
    <t>Capital Costs</t>
  </si>
  <si>
    <t>Natural gas (ton)</t>
  </si>
  <si>
    <t xml:space="preserve">as feedstock </t>
  </si>
  <si>
    <t>Cost ($BN/yr)</t>
  </si>
  <si>
    <t>Revenue ($BN/yr)</t>
  </si>
  <si>
    <t>Price (USD)</t>
  </si>
  <si>
    <t>currrent: 3.79</t>
  </si>
  <si>
    <t>Operating Costs</t>
  </si>
  <si>
    <t>MWh-e/yr</t>
  </si>
  <si>
    <t>Water (kg)</t>
  </si>
  <si>
    <t>Salary (USD/yr)</t>
  </si>
  <si>
    <t>Plant Data</t>
  </si>
  <si>
    <t>Annual cost (single plant)</t>
  </si>
  <si>
    <t>Lifetime Costs (single plant)</t>
  </si>
  <si>
    <t>Annual cost (all plants)</t>
  </si>
  <si>
    <t>Lifetime Costs (all plants)</t>
  </si>
  <si>
    <t>Revenue ($M/yr)</t>
  </si>
  <si>
    <t>Cost ($M/yr)</t>
  </si>
  <si>
    <t>LCOH ($/kg)</t>
  </si>
  <si>
    <t>CO2 Emissions to Atm</t>
  </si>
  <si>
    <t>Current</t>
  </si>
  <si>
    <t>Air Separation</t>
  </si>
  <si>
    <t>Reactor bed</t>
  </si>
  <si>
    <t>C_BM</t>
  </si>
  <si>
    <t>F_BM</t>
  </si>
  <si>
    <t>K1</t>
  </si>
  <si>
    <t>K2</t>
  </si>
  <si>
    <t>K3</t>
  </si>
  <si>
    <t>Volume</t>
  </si>
  <si>
    <t>Cp0</t>
  </si>
  <si>
    <t>C_BM_calc</t>
  </si>
  <si>
    <t>Bed1</t>
  </si>
  <si>
    <t>Bed2</t>
  </si>
  <si>
    <t>Bed3</t>
  </si>
  <si>
    <t>Length (m)</t>
  </si>
  <si>
    <t>Diameter (m)</t>
  </si>
  <si>
    <t>Volume (m3)</t>
  </si>
  <si>
    <t>Catalyst Vol.</t>
  </si>
  <si>
    <t>Catalyst density (kg/m3)</t>
  </si>
  <si>
    <t>Catalyst cost ($/kg)</t>
  </si>
  <si>
    <t>Bare Module</t>
  </si>
  <si>
    <t>Fixed Capital Investment</t>
  </si>
  <si>
    <t>Equipment erection</t>
  </si>
  <si>
    <t>Piping</t>
  </si>
  <si>
    <t>Instrumentation &amp; control</t>
  </si>
  <si>
    <t>Electrical</t>
  </si>
  <si>
    <t>Civil</t>
  </si>
  <si>
    <t>Structures and buildings</t>
  </si>
  <si>
    <t>Lagging and paint</t>
  </si>
  <si>
    <t>ISBL Cost</t>
  </si>
  <si>
    <t>Contingency (X)</t>
  </si>
  <si>
    <t>Design and Engineering (D&amp;E)</t>
  </si>
  <si>
    <t>Offsites (OS)</t>
  </si>
  <si>
    <t>Auxiliary factor</t>
  </si>
  <si>
    <t>fm = 1 since material already included in initial estiamtes</t>
  </si>
  <si>
    <t>Bare Module Cost</t>
  </si>
  <si>
    <t>ISBL</t>
  </si>
  <si>
    <t>Hydrogen BoP</t>
  </si>
  <si>
    <t>Total Fixed Capital Cost</t>
  </si>
  <si>
    <t>ISBL Capital Cost</t>
  </si>
  <si>
    <t>OSBL Capital Cost</t>
  </si>
  <si>
    <t>Engineering Costs</t>
  </si>
  <si>
    <t>Working Capital</t>
  </si>
  <si>
    <t>hr/yr</t>
  </si>
  <si>
    <t>day/yr</t>
  </si>
  <si>
    <t>t/y</t>
  </si>
  <si>
    <t>CAPITAL COSTS</t>
  </si>
  <si>
    <t>REVENUES AND RAW MATERIAL COSTS</t>
  </si>
  <si>
    <t>Key Products</t>
  </si>
  <si>
    <t>Total Key Product Revenues (REV)</t>
  </si>
  <si>
    <t>t</t>
  </si>
  <si>
    <t>Units/Unit product</t>
  </si>
  <si>
    <t>Units/yr</t>
  </si>
  <si>
    <t>Price USD $/unit</t>
  </si>
  <si>
    <t>CONSUMABLES</t>
  </si>
  <si>
    <t>Iron (III) Oxide on Alumina Catalyst</t>
  </si>
  <si>
    <t>kg</t>
  </si>
  <si>
    <t>Total Consumables (CONS)</t>
  </si>
  <si>
    <t>$MM/yr</t>
  </si>
  <si>
    <t>$/unit produced</t>
  </si>
  <si>
    <t>UTILITIES</t>
  </si>
  <si>
    <t>By-products &amp; Waste Streams</t>
  </si>
  <si>
    <t>Raw Materials</t>
  </si>
  <si>
    <t>Total Utilities (UTS)</t>
  </si>
  <si>
    <t>Variable Cost of Production (VCOP = RM - BP + CONS + UTS)</t>
  </si>
  <si>
    <t>FIXED OPERATING COSTS</t>
  </si>
  <si>
    <t>Operators per Shift Position</t>
  </si>
  <si>
    <t>Number of shift positions</t>
  </si>
  <si>
    <t>Supervisions</t>
  </si>
  <si>
    <t>Direct Overhead</t>
  </si>
  <si>
    <t>USD $/yr each</t>
  </si>
  <si>
    <t>of Operating Labor</t>
  </si>
  <si>
    <t>of Labor &amp; Supervision</t>
  </si>
  <si>
    <t>of ISBL Investment</t>
  </si>
  <si>
    <t>Overhead Expense</t>
  </si>
  <si>
    <t>Plant Overhead</t>
  </si>
  <si>
    <t>Tax &amp; Insurance</t>
  </si>
  <si>
    <t>Interest on Debit Financing</t>
  </si>
  <si>
    <t>of Labor &amp; Maintenance</t>
  </si>
  <si>
    <t>of Fixed Capital</t>
  </si>
  <si>
    <t>of Working Capital</t>
  </si>
  <si>
    <t>Fixed Cost of Production (FCOP)</t>
  </si>
  <si>
    <t>$MM</t>
  </si>
  <si>
    <t>ISBL+OSBL</t>
  </si>
  <si>
    <t>ANNUALIZED CAPITAL CHARGES</t>
  </si>
  <si>
    <t>Life (yr)</t>
  </si>
  <si>
    <t>USD $/unit product</t>
  </si>
  <si>
    <t>Air</t>
  </si>
  <si>
    <t>Oxygen (vented)</t>
  </si>
  <si>
    <t>Total Byproducts and Wastes (BP)</t>
  </si>
  <si>
    <t>Raw material inventory</t>
  </si>
  <si>
    <t>Product &amp; by-product inventory</t>
  </si>
  <si>
    <t>Cash on hand</t>
  </si>
  <si>
    <t>Accounts receivable</t>
  </si>
  <si>
    <t>Credit for accounts payable</t>
  </si>
  <si>
    <t>Spare parts inventory</t>
  </si>
  <si>
    <t>weeks RM</t>
  </si>
  <si>
    <t>Weeks OPEX</t>
  </si>
  <si>
    <t>week OPEX</t>
  </si>
  <si>
    <t>FCOP</t>
  </si>
  <si>
    <t>Total Annnual Capital Charge</t>
  </si>
  <si>
    <t>SUMMARY</t>
  </si>
  <si>
    <t>Variable Cost of Production</t>
  </si>
  <si>
    <t>Fixed Cost of Production</t>
  </si>
  <si>
    <t>Cash Cost of Production</t>
  </si>
  <si>
    <t>Total Cost of Production</t>
  </si>
  <si>
    <t>Sea water</t>
  </si>
  <si>
    <t>Gross Margin (GM = REV + BP - RM)</t>
  </si>
  <si>
    <t>Total Raw Materials (RM)</t>
  </si>
  <si>
    <t>Levelized Cost of Ammonia</t>
  </si>
  <si>
    <t>Operating Parameters</t>
  </si>
  <si>
    <t>Electrolyzer Size</t>
  </si>
  <si>
    <t>ISBL+ OSBL</t>
  </si>
  <si>
    <t>Hydrogen Production</t>
  </si>
  <si>
    <t>Hydrogen, all</t>
  </si>
  <si>
    <t>Electrolyzer Stack Replacement</t>
  </si>
  <si>
    <t>Levelized Cost of Hydrogen</t>
  </si>
  <si>
    <t>Electrolyzer Base Module Cost</t>
  </si>
  <si>
    <t>NREL, 2024</t>
  </si>
  <si>
    <t>Carbon dioxide</t>
  </si>
  <si>
    <t>Equipment</t>
  </si>
  <si>
    <t>Stripper column</t>
  </si>
  <si>
    <t>Washer column</t>
  </si>
  <si>
    <t>Pump</t>
  </si>
  <si>
    <t>Heat Pumps</t>
  </si>
  <si>
    <t>Carbamate Condenser</t>
  </si>
  <si>
    <t>Urea absorber</t>
  </si>
  <si>
    <t>Urea Reactor</t>
  </si>
  <si>
    <t>Compressor</t>
  </si>
  <si>
    <t>Bare module</t>
  </si>
  <si>
    <t>Total fixed CAPEX</t>
  </si>
  <si>
    <t>Design &amp; Engineering Costs</t>
  </si>
  <si>
    <t>Ammonia (to DAC)</t>
  </si>
  <si>
    <t>Steam (generated)</t>
  </si>
  <si>
    <t>Levelized Cost of Urea</t>
  </si>
  <si>
    <t>hr/yr operation</t>
  </si>
  <si>
    <t>Back-calculating Urea Stage electricity</t>
  </si>
  <si>
    <t>Compressor and stream conditioning (M$/yr)</t>
  </si>
  <si>
    <t>Electricity price ($/MWh)</t>
  </si>
  <si>
    <t>MWh/hr</t>
  </si>
  <si>
    <t>Pujol et al.</t>
  </si>
  <si>
    <t>Lean Air</t>
  </si>
  <si>
    <t>Process air</t>
  </si>
  <si>
    <t>Water (to atm.)</t>
  </si>
  <si>
    <t>Make-up water</t>
  </si>
  <si>
    <t>Heat</t>
  </si>
  <si>
    <t>Extra Cooling</t>
  </si>
  <si>
    <t>Back-calculating Cooling Water Use</t>
  </si>
  <si>
    <t>Water ($/m3)</t>
  </si>
  <si>
    <t>Cooling ($M/yr)</t>
  </si>
  <si>
    <t>Water use (tph)</t>
  </si>
  <si>
    <t>Hours operating/year</t>
  </si>
  <si>
    <t>Washer ($M/yr)</t>
  </si>
  <si>
    <t>Cooling Water</t>
  </si>
  <si>
    <t>Back-calculating Washer Water Use</t>
  </si>
  <si>
    <t xml:space="preserve">Calculating Total Electricity Use </t>
  </si>
  <si>
    <t>Air Contactor (MW)</t>
  </si>
  <si>
    <t>Heat Pump (MW)</t>
  </si>
  <si>
    <t>Electricity cost ($/MWh)</t>
  </si>
  <si>
    <t>Electric Demand (MWh/yr)</t>
  </si>
  <si>
    <t>Electric Demand (MW)</t>
  </si>
  <si>
    <t>Regen column reboiler duty</t>
  </si>
  <si>
    <t>GJ/t CO@</t>
  </si>
  <si>
    <t>Solvent</t>
  </si>
  <si>
    <t>Levelized Cost of Carbon Dioxide</t>
  </si>
  <si>
    <t>of ISBL</t>
  </si>
  <si>
    <t>USD $/kW</t>
  </si>
  <si>
    <t>Carbon Dioxide (to atm.)</t>
  </si>
  <si>
    <t>Natural Gas (as feedstock)</t>
  </si>
  <si>
    <t>Natural Gas (as fuel)</t>
  </si>
  <si>
    <t>MMBtu/t NG</t>
  </si>
  <si>
    <t>Chemicals &amp; Catalysts</t>
  </si>
  <si>
    <t>Interest on Debt Financing</t>
  </si>
  <si>
    <t>PLANT INFORMATION: GREY UREA PRODUCTION</t>
  </si>
  <si>
    <t>Ammonia (sold)</t>
  </si>
  <si>
    <t>Process Water (Steam)</t>
  </si>
  <si>
    <t>Carbon Dioxide (stored)</t>
  </si>
  <si>
    <t>WORKING CAPITAL CALCULATIONS</t>
  </si>
  <si>
    <t>€ to USD $</t>
  </si>
  <si>
    <t>4Q 2014 to 2Q 2025</t>
  </si>
  <si>
    <t>CAPITAL COSTS (4Q 2014 € to 2Q 2025 USD$)</t>
  </si>
  <si>
    <t>€</t>
  </si>
  <si>
    <t>USD $</t>
  </si>
  <si>
    <t>PROCESS DATA</t>
  </si>
  <si>
    <t>Materials</t>
  </si>
  <si>
    <t>Energy</t>
  </si>
  <si>
    <t>Electricity (MW-e)</t>
  </si>
  <si>
    <t>Natural Gas (as fuel) (t)</t>
  </si>
  <si>
    <t>OTHER COSTS (4Q 2014 € to 2Q 2025 USD$)</t>
  </si>
  <si>
    <t>n/a</t>
  </si>
  <si>
    <t>LABOR</t>
  </si>
  <si>
    <t>NATURAL GAS PRICE (GREY AND BLUE)</t>
  </si>
  <si>
    <t>USD $/MMBtu</t>
  </si>
  <si>
    <t>USD $/t</t>
  </si>
  <si>
    <t>Ammonia Flow</t>
  </si>
  <si>
    <t>Total Input</t>
  </si>
  <si>
    <t>To Urea</t>
  </si>
  <si>
    <t>Recycled</t>
  </si>
  <si>
    <t>SIMULATION PROCESS DATA</t>
  </si>
  <si>
    <t>PLANT INFORMATION: DIRECT AIR CAPTURE FOR CO2 PRODUCTION</t>
  </si>
  <si>
    <t>2020 $USD to $USD 2025</t>
  </si>
  <si>
    <t>Table 10 from NREL, 2024</t>
  </si>
  <si>
    <t>Electrolyzer Stack Manufacturing Cost (2020 USD $/kW). Assumes OPTIMISTIC economies of scale from manufacturing 100 MW/yr</t>
  </si>
  <si>
    <t>USD $2025/kW</t>
  </si>
  <si>
    <t>2019 $USD to $USD 2025</t>
  </si>
  <si>
    <t>2019 USD $</t>
  </si>
  <si>
    <t>2025 USD $</t>
  </si>
  <si>
    <t>PLANT INFORMATION: GREEN HYDROGEN PRODUCTION</t>
  </si>
  <si>
    <t>Deionized Process Water</t>
  </si>
  <si>
    <t>CAPITAL COST CALCULATIONS</t>
  </si>
  <si>
    <t xml:space="preserve">Catalyst data obtained from </t>
  </si>
  <si>
    <t>Constants and cost estimate methodology from</t>
  </si>
  <si>
    <r>
      <t xml:space="preserve">Turton et al., </t>
    </r>
    <r>
      <rPr>
        <i/>
        <sz val="12"/>
        <color theme="1"/>
        <rFont val="Aptos Narrow"/>
        <scheme val="minor"/>
      </rPr>
      <t>Analysis, Synthesis, and Design of Chemical Processes</t>
    </r>
  </si>
  <si>
    <r>
      <t xml:space="preserve">Lundgren, M.K. </t>
    </r>
    <r>
      <rPr>
        <i/>
        <u/>
        <sz val="12"/>
        <color theme="10"/>
        <rFont val="Aptos Narrow"/>
        <family val="2"/>
        <scheme val="minor"/>
      </rPr>
      <t>Incorporating Ammonia Synthesis for an Offshore Gas-to-Liquid Process</t>
    </r>
  </si>
  <si>
    <t>ISBL and Offsite Cost Constants from Towler &amp; Sinnott</t>
  </si>
  <si>
    <r>
      <rPr>
        <sz val="12"/>
        <color theme="1"/>
        <rFont val="Aptos Narrow"/>
        <scheme val="minor"/>
      </rPr>
      <t xml:space="preserve">From Towler &amp; Sinnott, </t>
    </r>
    <r>
      <rPr>
        <i/>
        <sz val="12"/>
        <color theme="1"/>
        <rFont val="Aptos Narrow"/>
        <scheme val="minor"/>
      </rPr>
      <t>Chemical Engineering Design: Principles, Practice and Economics of Plant and Process Design</t>
    </r>
  </si>
  <si>
    <t>LCOU</t>
  </si>
  <si>
    <t>Levelized Cost of Direct Air Capture Carbon Dioxide</t>
  </si>
  <si>
    <t>LCOCO2</t>
  </si>
  <si>
    <t>USD $2/kg LCOH</t>
  </si>
  <si>
    <t>USD $560/t LCOA</t>
  </si>
  <si>
    <t>USD $1/kg LCOH</t>
  </si>
  <si>
    <t>Financial Metrics</t>
  </si>
  <si>
    <t>Utilities</t>
  </si>
  <si>
    <t>Project Economics</t>
  </si>
  <si>
    <t>Discount/Interest rate (%)</t>
  </si>
  <si>
    <t>Results</t>
  </si>
  <si>
    <t>Wholesale Price</t>
  </si>
  <si>
    <t>Retail Price*</t>
  </si>
  <si>
    <t>* Assuming USD $100 to account for price mark-up, costs of transportation, etc.</t>
  </si>
  <si>
    <t>USD $100 obtained from comparing free on-board urea in Nigeria to retail urea fertilizer prices in Nigeria</t>
  </si>
  <si>
    <t>Grey, Local NG</t>
  </si>
  <si>
    <t>Blue, Local NG</t>
  </si>
  <si>
    <t>Grey, Imported NG</t>
  </si>
  <si>
    <t>Blue, Imported NG</t>
  </si>
  <si>
    <t>&lt;-- Cell that controls Grey/blue cost</t>
  </si>
  <si>
    <t>PLANT INFORMATION: AMMONIA SYNTHESIS</t>
  </si>
  <si>
    <t>PLANT INFORMATION: GREEN UREA SYNTHESIS</t>
  </si>
  <si>
    <t>MOLAR MASSES AND REACTION STOICHIOMETRY</t>
  </si>
  <si>
    <t>MASS / MOLE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</si>
</sst>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0.0"/>
    <numFmt numFmtId="166" formatCode="0.0E+00"/>
    <numFmt numFmtId="167" formatCode="0.0000"/>
    <numFmt numFmtId="168" formatCode="0.000000000000"/>
    <numFmt numFmtId="169" formatCode="_(&quot;$&quot;* #,##0_);_(&quot;$&quot;* \(#,##0\);_(&quot;$&quot;* &quot;-&quot;??_);_(@_)"/>
  </numFmts>
  <fonts count="1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2"/>
      <name val="Aptos Narrow"/>
      <scheme val="minor"/>
    </font>
    <font>
      <u/>
      <sz val="12"/>
      <color theme="1"/>
      <name val="Aptos Narrow"/>
      <family val="2"/>
      <scheme val="minor"/>
    </font>
    <font>
      <i/>
      <u/>
      <sz val="12"/>
      <color theme="10"/>
      <name val="Aptos Narrow"/>
      <family val="2"/>
      <scheme val="minor"/>
    </font>
    <font>
      <sz val="12"/>
      <color rgb="FF00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1"/>
    <xf numFmtId="0" fontId="2" fillId="0" borderId="0" xfId="0" applyFont="1"/>
    <xf numFmtId="10" fontId="0" fillId="0" borderId="0" xfId="0" applyNumberFormat="1"/>
    <xf numFmtId="165" fontId="0" fillId="0" borderId="0" xfId="0" applyNumberFormat="1"/>
    <xf numFmtId="9" fontId="0" fillId="0" borderId="0" xfId="2" applyFont="1"/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Alignment="1">
      <alignment horizontal="left" indent="1"/>
    </xf>
    <xf numFmtId="164" fontId="0" fillId="0" borderId="0" xfId="0" applyNumberFormat="1"/>
    <xf numFmtId="6" fontId="0" fillId="0" borderId="0" xfId="0" applyNumberFormat="1"/>
    <xf numFmtId="0" fontId="1" fillId="0" borderId="0" xfId="1" applyNumberFormat="1"/>
    <xf numFmtId="167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/>
    </xf>
    <xf numFmtId="0" fontId="5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6" fillId="0" borderId="0" xfId="0" applyFon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1" fontId="0" fillId="0" borderId="0" xfId="2" applyNumberFormat="1" applyFont="1" applyAlignment="1">
      <alignment horizontal="right"/>
    </xf>
    <xf numFmtId="0" fontId="0" fillId="0" borderId="3" xfId="0" applyBorder="1"/>
    <xf numFmtId="0" fontId="0" fillId="0" borderId="5" xfId="0" applyBorder="1"/>
    <xf numFmtId="165" fontId="0" fillId="0" borderId="5" xfId="0" applyNumberFormat="1" applyBorder="1"/>
    <xf numFmtId="165" fontId="2" fillId="0" borderId="2" xfId="0" applyNumberFormat="1" applyFont="1" applyBorder="1"/>
    <xf numFmtId="165" fontId="2" fillId="0" borderId="6" xfId="0" applyNumberFormat="1" applyFont="1" applyBorder="1"/>
    <xf numFmtId="0" fontId="0" fillId="0" borderId="0" xfId="0" applyAlignment="1">
      <alignment vertical="center"/>
    </xf>
    <xf numFmtId="165" fontId="0" fillId="0" borderId="7" xfId="0" applyNumberFormat="1" applyBorder="1"/>
    <xf numFmtId="165" fontId="0" fillId="0" borderId="8" xfId="0" applyNumberFormat="1" applyBorder="1"/>
    <xf numFmtId="0" fontId="7" fillId="6" borderId="2" xfId="0" applyFont="1" applyFill="1" applyBorder="1"/>
    <xf numFmtId="0" fontId="7" fillId="6" borderId="6" xfId="0" applyFont="1" applyFill="1" applyBorder="1"/>
    <xf numFmtId="0" fontId="2" fillId="7" borderId="2" xfId="0" applyFont="1" applyFill="1" applyBorder="1"/>
    <xf numFmtId="0" fontId="2" fillId="7" borderId="6" xfId="0" applyFont="1" applyFill="1" applyBorder="1"/>
    <xf numFmtId="0" fontId="2" fillId="7" borderId="2" xfId="0" applyFont="1" applyFill="1" applyBorder="1" applyAlignment="1">
      <alignment wrapText="1"/>
    </xf>
    <xf numFmtId="0" fontId="0" fillId="0" borderId="9" xfId="0" applyBorder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left"/>
    </xf>
    <xf numFmtId="17" fontId="0" fillId="0" borderId="0" xfId="0" applyNumberFormat="1"/>
    <xf numFmtId="0" fontId="2" fillId="6" borderId="3" xfId="0" applyFont="1" applyFill="1" applyBorder="1"/>
    <xf numFmtId="0" fontId="2" fillId="6" borderId="0" xfId="0" applyFont="1" applyFill="1"/>
    <xf numFmtId="0" fontId="2" fillId="6" borderId="4" xfId="0" applyFont="1" applyFill="1" applyBorder="1"/>
    <xf numFmtId="0" fontId="2" fillId="6" borderId="2" xfId="0" applyFont="1" applyFill="1" applyBorder="1"/>
    <xf numFmtId="0" fontId="2" fillId="6" borderId="6" xfId="0" applyFont="1" applyFill="1" applyBorder="1"/>
    <xf numFmtId="0" fontId="0" fillId="7" borderId="2" xfId="0" applyFill="1" applyBorder="1"/>
    <xf numFmtId="0" fontId="2" fillId="0" borderId="6" xfId="0" applyFont="1" applyBorder="1"/>
    <xf numFmtId="0" fontId="0" fillId="7" borderId="4" xfId="0" applyFill="1" applyBorder="1"/>
    <xf numFmtId="0" fontId="0" fillId="0" borderId="8" xfId="0" applyBorder="1"/>
    <xf numFmtId="1" fontId="0" fillId="0" borderId="5" xfId="0" applyNumberFormat="1" applyBorder="1"/>
    <xf numFmtId="164" fontId="0" fillId="0" borderId="5" xfId="0" applyNumberFormat="1" applyBorder="1"/>
    <xf numFmtId="166" fontId="0" fillId="0" borderId="5" xfId="0" applyNumberFormat="1" applyBorder="1"/>
    <xf numFmtId="165" fontId="0" fillId="0" borderId="10" xfId="0" applyNumberFormat="1" applyBorder="1"/>
    <xf numFmtId="0" fontId="0" fillId="0" borderId="6" xfId="0" applyBorder="1"/>
    <xf numFmtId="0" fontId="7" fillId="8" borderId="6" xfId="0" applyFont="1" applyFill="1" applyBorder="1"/>
    <xf numFmtId="0" fontId="2" fillId="8" borderId="6" xfId="0" applyFont="1" applyFill="1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indent="1"/>
    </xf>
    <xf numFmtId="0" fontId="2" fillId="0" borderId="5" xfId="0" applyFont="1" applyBorder="1" applyAlignment="1">
      <alignment horizontal="left"/>
    </xf>
    <xf numFmtId="0" fontId="0" fillId="0" borderId="10" xfId="0" applyBorder="1"/>
    <xf numFmtId="0" fontId="7" fillId="8" borderId="8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6" borderId="5" xfId="0" applyFont="1" applyFill="1" applyBorder="1"/>
    <xf numFmtId="0" fontId="2" fillId="7" borderId="0" xfId="0" applyFont="1" applyFill="1"/>
    <xf numFmtId="0" fontId="2" fillId="7" borderId="5" xfId="0" applyFont="1" applyFill="1" applyBorder="1"/>
    <xf numFmtId="0" fontId="2" fillId="5" borderId="0" xfId="0" applyFont="1" applyFill="1"/>
    <xf numFmtId="0" fontId="2" fillId="7" borderId="3" xfId="0" applyFont="1" applyFill="1" applyBorder="1"/>
    <xf numFmtId="0" fontId="2" fillId="8" borderId="0" xfId="0" applyFont="1" applyFill="1"/>
    <xf numFmtId="2" fontId="0" fillId="0" borderId="5" xfId="0" applyNumberFormat="1" applyBorder="1"/>
    <xf numFmtId="8" fontId="0" fillId="0" borderId="0" xfId="0" applyNumberFormat="1"/>
    <xf numFmtId="168" fontId="0" fillId="0" borderId="0" xfId="0" applyNumberFormat="1"/>
    <xf numFmtId="10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9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" fontId="0" fillId="0" borderId="1" xfId="0" applyNumberFormat="1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indent="1"/>
    </xf>
    <xf numFmtId="0" fontId="8" fillId="0" borderId="13" xfId="0" applyFont="1" applyBorder="1" applyAlignment="1">
      <alignment horizontal="center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13" xfId="0" applyNumberFormat="1" applyBorder="1"/>
    <xf numFmtId="2" fontId="0" fillId="0" borderId="15" xfId="0" applyNumberFormat="1" applyBorder="1"/>
    <xf numFmtId="165" fontId="0" fillId="0" borderId="13" xfId="0" applyNumberFormat="1" applyBorder="1"/>
    <xf numFmtId="0" fontId="0" fillId="0" borderId="16" xfId="0" applyBorder="1" applyAlignment="1">
      <alignment horizontal="center"/>
    </xf>
    <xf numFmtId="165" fontId="0" fillId="0" borderId="15" xfId="0" applyNumberForma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164" fontId="0" fillId="0" borderId="13" xfId="0" applyNumberFormat="1" applyBorder="1"/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3" borderId="17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0" fillId="0" borderId="12" xfId="0" applyNumberFormat="1" applyBorder="1"/>
    <xf numFmtId="0" fontId="8" fillId="0" borderId="23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" fontId="0" fillId="0" borderId="13" xfId="0" applyNumberFormat="1" applyBorder="1"/>
    <xf numFmtId="2" fontId="3" fillId="0" borderId="1" xfId="0" applyNumberFormat="1" applyFont="1" applyBorder="1"/>
    <xf numFmtId="0" fontId="0" fillId="0" borderId="18" xfId="0" applyBorder="1" applyAlignment="1">
      <alignment horizontal="left" indent="1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left" indent="1"/>
    </xf>
    <xf numFmtId="0" fontId="8" fillId="0" borderId="11" xfId="0" applyFont="1" applyBorder="1"/>
    <xf numFmtId="1" fontId="0" fillId="0" borderId="15" xfId="0" applyNumberFormat="1" applyBorder="1"/>
    <xf numFmtId="0" fontId="1" fillId="0" borderId="1" xfId="1" applyBorder="1"/>
    <xf numFmtId="0" fontId="0" fillId="0" borderId="24" xfId="0" applyBorder="1"/>
    <xf numFmtId="0" fontId="0" fillId="0" borderId="23" xfId="0" applyBorder="1"/>
    <xf numFmtId="2" fontId="0" fillId="0" borderId="23" xfId="0" applyNumberFormat="1" applyBorder="1"/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" fontId="0" fillId="0" borderId="12" xfId="0" applyNumberFormat="1" applyBorder="1"/>
    <xf numFmtId="0" fontId="0" fillId="0" borderId="1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2" fontId="0" fillId="0" borderId="16" xfId="0" applyNumberFormat="1" applyBorder="1"/>
    <xf numFmtId="165" fontId="0" fillId="0" borderId="26" xfId="0" applyNumberFormat="1" applyBorder="1"/>
    <xf numFmtId="0" fontId="0" fillId="9" borderId="14" xfId="0" applyFill="1" applyBorder="1"/>
    <xf numFmtId="0" fontId="0" fillId="9" borderId="17" xfId="0" applyFill="1" applyBorder="1"/>
    <xf numFmtId="0" fontId="0" fillId="8" borderId="14" xfId="0" applyFill="1" applyBorder="1"/>
    <xf numFmtId="0" fontId="0" fillId="8" borderId="17" xfId="0" applyFill="1" applyBorder="1"/>
    <xf numFmtId="18" fontId="0" fillId="0" borderId="0" xfId="0" applyNumberFormat="1"/>
    <xf numFmtId="0" fontId="8" fillId="0" borderId="0" xfId="0" applyFont="1"/>
    <xf numFmtId="0" fontId="1" fillId="0" borderId="0" xfId="1" applyFill="1"/>
    <xf numFmtId="0" fontId="5" fillId="0" borderId="0" xfId="0" applyFont="1"/>
    <xf numFmtId="169" fontId="0" fillId="0" borderId="0" xfId="3" applyNumberFormat="1" applyFont="1"/>
    <xf numFmtId="169" fontId="0" fillId="0" borderId="0" xfId="3" quotePrefix="1" applyNumberFormat="1" applyFont="1"/>
    <xf numFmtId="9" fontId="3" fillId="0" borderId="0" xfId="0" applyNumberFormat="1" applyFont="1"/>
    <xf numFmtId="164" fontId="10" fillId="0" borderId="0" xfId="0" applyNumberFormat="1" applyFont="1"/>
    <xf numFmtId="1" fontId="3" fillId="0" borderId="0" xfId="0" applyNumberFormat="1" applyFont="1"/>
    <xf numFmtId="169" fontId="0" fillId="0" borderId="0" xfId="0" applyNumberFormat="1"/>
    <xf numFmtId="0" fontId="1" fillId="9" borderId="14" xfId="1" applyFill="1" applyBorder="1"/>
    <xf numFmtId="0" fontId="1" fillId="8" borderId="14" xfId="1" applyFill="1" applyBorder="1"/>
    <xf numFmtId="0" fontId="1" fillId="3" borderId="14" xfId="1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BE2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441834</xdr:colOff>
      <xdr:row>44</xdr:row>
      <xdr:rowOff>78768</xdr:rowOff>
    </xdr:from>
    <xdr:to>
      <xdr:col>26</xdr:col>
      <xdr:colOff>13131</xdr:colOff>
      <xdr:row>66</xdr:row>
      <xdr:rowOff>52557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B70DE5-EDF2-A3CA-7AD0-48E12893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7567" y="9324368"/>
          <a:ext cx="4837564" cy="4444189"/>
        </a:xfrm>
        <a:prstGeom prst="rect">
          <a:avLst/>
        </a:prstGeom>
      </xdr:spPr>
    </xdr:pic>
    <xdr:clientData/>
  </xdr:twoCellAnchor>
  <xdr:twoCellAnchor editAs="oneCell">
    <xdr:from>
      <xdr:col>16</xdr:col>
      <xdr:colOff>88900</xdr:colOff>
      <xdr:row>56</xdr:row>
      <xdr:rowOff>88900</xdr:rowOff>
    </xdr:from>
    <xdr:to>
      <xdr:col>20</xdr:col>
      <xdr:colOff>45940</xdr:colOff>
      <xdr:row>58</xdr:row>
      <xdr:rowOff>177800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DFB3B4-E496-35F9-FDD5-BF6A92F96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000" y="19672300"/>
          <a:ext cx="38227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706966</xdr:colOff>
      <xdr:row>46</xdr:row>
      <xdr:rowOff>101601</xdr:rowOff>
    </xdr:from>
    <xdr:to>
      <xdr:col>23</xdr:col>
      <xdr:colOff>509924</xdr:colOff>
      <xdr:row>56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ABBDA-9BAD-734D-1512-AC663405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6833" y="5994401"/>
          <a:ext cx="6610158" cy="2057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788968</xdr:colOff>
      <xdr:row>27</xdr:row>
      <xdr:rowOff>150838</xdr:rowOff>
    </xdr:from>
    <xdr:to>
      <xdr:col>21</xdr:col>
      <xdr:colOff>257219</xdr:colOff>
      <xdr:row>49</xdr:row>
      <xdr:rowOff>124627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5E7975-DE8C-804D-B2EF-7EE9B8959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1568" y="5637238"/>
          <a:ext cx="4903851" cy="4444189"/>
        </a:xfrm>
        <a:prstGeom prst="rect">
          <a:avLst/>
        </a:prstGeom>
      </xdr:spPr>
    </xdr:pic>
    <xdr:clientData/>
  </xdr:twoCellAnchor>
  <xdr:twoCellAnchor editAs="oneCell">
    <xdr:from>
      <xdr:col>22</xdr:col>
      <xdr:colOff>119876</xdr:colOff>
      <xdr:row>40</xdr:row>
      <xdr:rowOff>73412</xdr:rowOff>
    </xdr:from>
    <xdr:to>
      <xdr:col>26</xdr:col>
      <xdr:colOff>552495</xdr:colOff>
      <xdr:row>42</xdr:row>
      <xdr:rowOff>162312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43C825-6FB2-EB42-B8EB-1023C26CB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24754" y="13965973"/>
          <a:ext cx="3824448" cy="49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35434</xdr:colOff>
      <xdr:row>74</xdr:row>
      <xdr:rowOff>129568</xdr:rowOff>
    </xdr:from>
    <xdr:to>
      <xdr:col>5</xdr:col>
      <xdr:colOff>521131</xdr:colOff>
      <xdr:row>96</xdr:row>
      <xdr:rowOff>103358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EC7E0CE-ABF6-6942-B1D8-58B8BCB87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4" y="15318768"/>
          <a:ext cx="4837564" cy="4444190"/>
        </a:xfrm>
        <a:prstGeom prst="rect">
          <a:avLst/>
        </a:prstGeom>
      </xdr:spPr>
    </xdr:pic>
    <xdr:clientData/>
  </xdr:twoCellAnchor>
  <xdr:twoCellAnchor editAs="oneCell">
    <xdr:from>
      <xdr:col>6</xdr:col>
      <xdr:colOff>88900</xdr:colOff>
      <xdr:row>89</xdr:row>
      <xdr:rowOff>88900</xdr:rowOff>
    </xdr:from>
    <xdr:to>
      <xdr:col>11</xdr:col>
      <xdr:colOff>359206</xdr:colOff>
      <xdr:row>91</xdr:row>
      <xdr:rowOff>177800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BEEC4A7-685A-184F-B3D5-98E57E2EA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17792700"/>
          <a:ext cx="3822073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fricafertilizer.org/" TargetMode="External"/><Relationship Id="rId1" Type="http://schemas.openxmlformats.org/officeDocument/2006/relationships/hyperlink" Target="https://www.sciencedirect.com/science/article/pii/S095965262500282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nrel.gov/docs/fy24osti/87625.pdf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docs.nrel.gov/docs/fy24osti/87625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pubs.acs.org/doi/10.1021/acs.iecr.2c00383?goto=supporting-info&amp;ref=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ubs.acs.org/doi/10.1021/acs.iecr.2c00383?goto=supporting-info&amp;ref=pdf" TargetMode="External"/><Relationship Id="rId1" Type="http://schemas.openxmlformats.org/officeDocument/2006/relationships/hyperlink" Target="https://ntnuopen.ntnu.no/ntnu-xmlui/bitstream/handle/11250/2411558/15438_FULLTEXT.pdf?sequence=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sciencedirect.com/science/article/pii/S0959652625002823?via%3Dihub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article/pii/S0959652625002823?via%3Dihub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www.bls.gov/data/inflation_calculator.htm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ieaghg.org/publications/techno-economic-evaluation-of-hyco-plant-integrated-to-ammonia-urea-or-methanol-production-with-ccs/" TargetMode="External"/><Relationship Id="rId4" Type="http://schemas.openxmlformats.org/officeDocument/2006/relationships/hyperlink" Target="https://ieaghg.org/publications/techno-economic-evaluation-of-hyco-plant-integrated-to-ammonia-urea-or-methanol-production-with-c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1797-F2A8-E241-971B-FA5F23828BEF}">
  <dimension ref="A1:Q94"/>
  <sheetViews>
    <sheetView workbookViewId="0">
      <selection activeCell="C32" sqref="C32"/>
    </sheetView>
  </sheetViews>
  <sheetFormatPr baseColWidth="10" defaultRowHeight="16"/>
  <cols>
    <col min="1" max="1" width="24.6640625" customWidth="1"/>
    <col min="2" max="2" width="10.33203125" customWidth="1"/>
    <col min="3" max="3" width="14.83203125" customWidth="1"/>
    <col min="4" max="4" width="16" customWidth="1"/>
    <col min="5" max="5" width="14.5" customWidth="1"/>
    <col min="6" max="6" width="13.1640625" bestFit="1" customWidth="1"/>
    <col min="7" max="7" width="13" bestFit="1" customWidth="1"/>
    <col min="8" max="8" width="16.33203125" bestFit="1" customWidth="1"/>
    <col min="9" max="9" width="16" bestFit="1" customWidth="1"/>
  </cols>
  <sheetData>
    <row r="1" spans="1:9" ht="22">
      <c r="A1" s="23" t="s">
        <v>372</v>
      </c>
    </row>
    <row r="2" spans="1:9">
      <c r="A2" t="s">
        <v>373</v>
      </c>
      <c r="B2" t="s">
        <v>146</v>
      </c>
      <c r="C2" t="s">
        <v>365</v>
      </c>
      <c r="D2" t="s">
        <v>366</v>
      </c>
      <c r="E2" t="s">
        <v>367</v>
      </c>
      <c r="F2" t="s">
        <v>377</v>
      </c>
      <c r="G2" t="s">
        <v>378</v>
      </c>
      <c r="H2" t="s">
        <v>379</v>
      </c>
      <c r="I2" t="s">
        <v>380</v>
      </c>
    </row>
    <row r="3" spans="1:9">
      <c r="A3" t="s">
        <v>61</v>
      </c>
      <c r="B3" s="146">
        <f>'H2'!N70</f>
        <v>4006.9166336414442</v>
      </c>
      <c r="C3" s="146">
        <v>2000</v>
      </c>
      <c r="D3" s="147" t="s">
        <v>7</v>
      </c>
      <c r="E3" s="146">
        <v>1000</v>
      </c>
    </row>
    <row r="4" spans="1:9">
      <c r="A4" t="s">
        <v>8</v>
      </c>
      <c r="B4" s="146">
        <f>'NH3'!N72</f>
        <v>1239.1772127025574</v>
      </c>
      <c r="C4" s="146">
        <v>882.1249315720554</v>
      </c>
      <c r="D4" s="146">
        <v>560</v>
      </c>
      <c r="E4" s="146">
        <v>704.21406315563831</v>
      </c>
    </row>
    <row r="5" spans="1:9">
      <c r="A5" t="s">
        <v>364</v>
      </c>
      <c r="B5" s="146">
        <f>'Direct Air Capture'!N72</f>
        <v>1096.9282208143736</v>
      </c>
      <c r="C5" s="146">
        <v>976.95865435452481</v>
      </c>
      <c r="D5" s="146">
        <v>868.72467734631425</v>
      </c>
      <c r="E5" s="146">
        <v>917.18060256660863</v>
      </c>
    </row>
    <row r="6" spans="1:9">
      <c r="A6" t="s">
        <v>362</v>
      </c>
      <c r="B6" s="146">
        <f>Urea!N70</f>
        <v>1799.8595699507694</v>
      </c>
      <c r="C6" s="146">
        <v>1432.020814313388</v>
      </c>
      <c r="D6" s="146">
        <v>1100.1645561371977</v>
      </c>
      <c r="E6" s="146">
        <v>1248.7352958860693</v>
      </c>
      <c r="F6" s="146">
        <v>347.25228179811103</v>
      </c>
      <c r="G6" s="146">
        <v>457.25827872270111</v>
      </c>
      <c r="H6" s="146">
        <v>557.15750639193072</v>
      </c>
      <c r="I6" s="146">
        <v>656.58040234879786</v>
      </c>
    </row>
    <row r="8" spans="1:9">
      <c r="A8" t="s">
        <v>374</v>
      </c>
      <c r="B8" t="s">
        <v>146</v>
      </c>
      <c r="C8" t="s">
        <v>365</v>
      </c>
      <c r="D8" t="s">
        <v>366</v>
      </c>
      <c r="E8" t="s">
        <v>367</v>
      </c>
      <c r="F8" t="s">
        <v>377</v>
      </c>
      <c r="G8" t="s">
        <v>378</v>
      </c>
      <c r="H8" t="s">
        <v>379</v>
      </c>
      <c r="I8" t="s">
        <v>380</v>
      </c>
    </row>
    <row r="9" spans="1:9">
      <c r="A9" t="s">
        <v>362</v>
      </c>
      <c r="B9" s="146">
        <f>(B6)+100</f>
        <v>1899.8595699507694</v>
      </c>
      <c r="C9" s="146">
        <f>(C6)+100</f>
        <v>1532.020814313388</v>
      </c>
      <c r="D9" s="146">
        <f>(D6)+100</f>
        <v>1200.1645561371977</v>
      </c>
      <c r="E9" s="146">
        <f>(E6)+100</f>
        <v>1348.7352958860693</v>
      </c>
      <c r="F9" s="151">
        <f>F6+100</f>
        <v>447.25228179811103</v>
      </c>
      <c r="G9" s="151">
        <f>G6+100</f>
        <v>557.25827872270111</v>
      </c>
      <c r="H9" s="151">
        <f>H6+100</f>
        <v>657.15750639193072</v>
      </c>
      <c r="I9" s="151">
        <f>I6+100</f>
        <v>756.58040234879786</v>
      </c>
    </row>
    <row r="10" spans="1:9">
      <c r="A10" t="s">
        <v>375</v>
      </c>
    </row>
    <row r="11" spans="1:9">
      <c r="A11" s="1" t="s">
        <v>376</v>
      </c>
    </row>
    <row r="13" spans="1:9">
      <c r="A13" t="s">
        <v>61</v>
      </c>
      <c r="B13" t="s">
        <v>262</v>
      </c>
    </row>
    <row r="14" spans="1:9">
      <c r="A14" t="s">
        <v>8</v>
      </c>
      <c r="B14" t="s">
        <v>255</v>
      </c>
    </row>
    <row r="15" spans="1:9">
      <c r="A15" t="s">
        <v>364</v>
      </c>
      <c r="B15" t="s">
        <v>363</v>
      </c>
    </row>
    <row r="16" spans="1:9">
      <c r="A16" t="s">
        <v>362</v>
      </c>
      <c r="B16" t="s">
        <v>280</v>
      </c>
    </row>
    <row r="17" spans="1:17">
      <c r="L17" s="10"/>
      <c r="M17" s="7"/>
      <c r="Q17" s="7"/>
    </row>
    <row r="18" spans="1:17" ht="22">
      <c r="A18" s="23" t="s">
        <v>33</v>
      </c>
      <c r="M18" s="7"/>
      <c r="N18" s="12"/>
      <c r="Q18" s="7"/>
    </row>
    <row r="19" spans="1:17">
      <c r="A19" s="2" t="s">
        <v>65</v>
      </c>
      <c r="M19" s="7"/>
      <c r="N19" s="12"/>
      <c r="Q19" s="7"/>
    </row>
    <row r="20" spans="1:17">
      <c r="A20" t="s">
        <v>37</v>
      </c>
      <c r="B20">
        <f>12*10^6</f>
        <v>12000000</v>
      </c>
      <c r="C20" s="4">
        <f>B20/10^6</f>
        <v>12</v>
      </c>
      <c r="M20" s="7"/>
      <c r="N20" s="12"/>
      <c r="Q20" s="7"/>
    </row>
    <row r="21" spans="1:17">
      <c r="A21" t="s">
        <v>63</v>
      </c>
      <c r="B21" s="6">
        <f>'Intermediate Calculations'!B7</f>
        <v>8793206.7932067923</v>
      </c>
      <c r="C21" s="4">
        <f>B21/10^6</f>
        <v>8.7932067932067923</v>
      </c>
      <c r="M21" s="7"/>
      <c r="N21" s="12"/>
      <c r="Q21" s="7"/>
    </row>
    <row r="22" spans="1:17">
      <c r="A22" t="s">
        <v>38</v>
      </c>
      <c r="B22" s="6">
        <f>'Intermediate Calculations'!B5</f>
        <v>6805594.4055944048</v>
      </c>
      <c r="C22" s="4">
        <f>B22/10^6</f>
        <v>6.8055944055944044</v>
      </c>
      <c r="M22" s="7"/>
      <c r="N22" s="12"/>
      <c r="Q22" s="7"/>
    </row>
    <row r="23" spans="1:17">
      <c r="A23" t="s">
        <v>39</v>
      </c>
      <c r="B23" s="6">
        <f>'Intermediate Calculations'!B9</f>
        <v>1210789.2107892106</v>
      </c>
      <c r="C23" s="4">
        <f>B23/10^6</f>
        <v>1.2107892107892106</v>
      </c>
      <c r="M23" s="7"/>
      <c r="N23" s="12"/>
    </row>
    <row r="24" spans="1:17">
      <c r="A24" t="s">
        <v>40</v>
      </c>
      <c r="B24" s="6">
        <f>'Intermediate Calculations'!B13</f>
        <v>10801198.801198801</v>
      </c>
      <c r="C24" s="4">
        <f>B24/10^6</f>
        <v>10.801198801198801</v>
      </c>
      <c r="M24" s="7"/>
    </row>
    <row r="25" spans="1:17">
      <c r="M25" s="7"/>
    </row>
    <row r="26" spans="1:17" ht="22">
      <c r="A26" s="23" t="s">
        <v>368</v>
      </c>
    </row>
    <row r="27" spans="1:17">
      <c r="A27" s="2" t="s">
        <v>369</v>
      </c>
    </row>
    <row r="28" spans="1:17">
      <c r="A28" s="16" t="s">
        <v>51</v>
      </c>
      <c r="B28">
        <v>0.05</v>
      </c>
    </row>
    <row r="29" spans="1:17">
      <c r="A29" s="16" t="s">
        <v>60</v>
      </c>
      <c r="B29" s="15">
        <f>49.59/1000</f>
        <v>4.9590000000000002E-2</v>
      </c>
      <c r="C29" s="1" t="s">
        <v>286</v>
      </c>
    </row>
    <row r="30" spans="1:17">
      <c r="A30" s="16" t="s">
        <v>59</v>
      </c>
      <c r="B30">
        <v>0.2</v>
      </c>
    </row>
    <row r="31" spans="1:17">
      <c r="A31" s="2" t="s">
        <v>370</v>
      </c>
      <c r="B31" s="25"/>
      <c r="C31" s="6"/>
    </row>
    <row r="32" spans="1:17">
      <c r="A32" s="25" t="s">
        <v>371</v>
      </c>
      <c r="B32" s="148">
        <v>0.08</v>
      </c>
    </row>
    <row r="33" spans="1:2">
      <c r="A33" s="25" t="s">
        <v>34</v>
      </c>
      <c r="B33" s="25">
        <v>20</v>
      </c>
    </row>
    <row r="34" spans="1:2">
      <c r="A34" t="s">
        <v>28</v>
      </c>
      <c r="B34" s="149">
        <f>( B32*(1+B32)^B33 ) / ( (1+B32)^B33-1 )</f>
        <v>0.10185220882315059</v>
      </c>
    </row>
    <row r="35" spans="1:2">
      <c r="A35" t="s">
        <v>53</v>
      </c>
      <c r="B35" s="25"/>
    </row>
    <row r="36" spans="1:2">
      <c r="A36" s="11" t="s">
        <v>49</v>
      </c>
      <c r="B36" s="150">
        <f>B38/B37</f>
        <v>333.33333333333331</v>
      </c>
    </row>
    <row r="37" spans="1:2">
      <c r="A37" s="11" t="s">
        <v>35</v>
      </c>
      <c r="B37" s="25">
        <v>24</v>
      </c>
    </row>
    <row r="38" spans="1:2">
      <c r="A38" s="11" t="s">
        <v>36</v>
      </c>
      <c r="B38" s="25">
        <v>8000</v>
      </c>
    </row>
    <row r="45" spans="1:2">
      <c r="A45" s="11"/>
      <c r="B45" s="4"/>
    </row>
    <row r="46" spans="1:2">
      <c r="A46" s="11"/>
    </row>
    <row r="50" spans="1:2">
      <c r="A50" s="22"/>
    </row>
    <row r="51" spans="1:2">
      <c r="A51" s="11"/>
    </row>
    <row r="52" spans="1:2">
      <c r="A52" s="11"/>
      <c r="B52" s="7"/>
    </row>
    <row r="53" spans="1:2">
      <c r="A53" s="11"/>
      <c r="B53" s="6"/>
    </row>
    <row r="54" spans="1:2">
      <c r="A54" s="11"/>
    </row>
    <row r="58" spans="1:2">
      <c r="A58" s="17"/>
    </row>
    <row r="59" spans="1:2">
      <c r="A59" s="22"/>
    </row>
    <row r="60" spans="1:2">
      <c r="A60" s="11"/>
    </row>
    <row r="61" spans="1:2">
      <c r="A61" s="11"/>
      <c r="B61" s="7"/>
    </row>
    <row r="62" spans="1:2">
      <c r="A62" s="11"/>
      <c r="B62" s="6"/>
    </row>
    <row r="63" spans="1:2">
      <c r="A63" s="11"/>
    </row>
    <row r="86" spans="1:3">
      <c r="A86" s="17"/>
    </row>
    <row r="88" spans="1:3">
      <c r="A88" s="11"/>
    </row>
    <row r="89" spans="1:3">
      <c r="A89" s="22"/>
    </row>
    <row r="90" spans="1:3">
      <c r="A90" s="11"/>
    </row>
    <row r="91" spans="1:3">
      <c r="A91" s="11"/>
    </row>
    <row r="94" spans="1:3" s="9" customFormat="1">
      <c r="A94"/>
      <c r="B94"/>
      <c r="C94"/>
    </row>
  </sheetData>
  <hyperlinks>
    <hyperlink ref="C29" r:id="rId1" xr:uid="{93D66081-9A39-7E45-8B45-54C08BB343BC}"/>
    <hyperlink ref="A11" r:id="rId2" location="/en/results-and-data/price-statistics/" xr:uid="{D84DD00F-B63E-5A49-A271-C4EDD86B27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CD67-09D3-2045-9358-194BFB6CA28A}">
  <dimension ref="B1:CF174"/>
  <sheetViews>
    <sheetView topLeftCell="A24" zoomScale="75" zoomScaleNormal="50" workbookViewId="0">
      <selection activeCell="L73" sqref="L73:M74"/>
    </sheetView>
  </sheetViews>
  <sheetFormatPr baseColWidth="10" defaultRowHeight="16"/>
  <cols>
    <col min="2" max="2" width="22.33203125" bestFit="1" customWidth="1"/>
    <col min="3" max="3" width="11" bestFit="1" customWidth="1"/>
    <col min="4" max="4" width="8.5" customWidth="1"/>
    <col min="5" max="5" width="14" bestFit="1" customWidth="1"/>
    <col min="6" max="6" width="12.1640625" bestFit="1" customWidth="1"/>
    <col min="7" max="7" width="9.33203125" bestFit="1" customWidth="1"/>
    <col min="8" max="8" width="11.83203125" customWidth="1"/>
    <col min="9" max="9" width="11.6640625" bestFit="1" customWidth="1"/>
    <col min="10" max="10" width="11" bestFit="1" customWidth="1"/>
    <col min="12" max="12" width="11.5" customWidth="1"/>
    <col min="13" max="16" width="11" bestFit="1" customWidth="1"/>
    <col min="17" max="17" width="14.6640625" customWidth="1"/>
    <col min="18" max="18" width="12" customWidth="1"/>
    <col min="19" max="19" width="10.5" customWidth="1"/>
    <col min="20" max="20" width="13.6640625" bestFit="1" customWidth="1"/>
    <col min="21" max="21" width="11" bestFit="1" customWidth="1"/>
    <col min="22" max="22" width="14.33203125" customWidth="1"/>
    <col min="28" max="28" width="10.6640625" customWidth="1"/>
    <col min="29" max="29" width="19.5" customWidth="1"/>
    <col min="30" max="30" width="7.5" customWidth="1"/>
    <col min="31" max="31" width="6.5" customWidth="1"/>
    <col min="32" max="32" width="8.5" customWidth="1"/>
    <col min="33" max="33" width="5.83203125" customWidth="1"/>
    <col min="34" max="34" width="12.1640625" customWidth="1"/>
    <col min="35" max="35" width="6.33203125" customWidth="1"/>
    <col min="36" max="36" width="9.33203125" customWidth="1"/>
    <col min="37" max="37" width="13.5" customWidth="1"/>
    <col min="38" max="38" width="8.5" customWidth="1"/>
    <col min="39" max="39" width="10.1640625" customWidth="1"/>
    <col min="40" max="40" width="9.33203125" customWidth="1"/>
    <col min="44" max="44" width="12.6640625" bestFit="1" customWidth="1"/>
    <col min="48" max="48" width="25.6640625" bestFit="1" customWidth="1"/>
    <col min="49" max="49" width="14.83203125" bestFit="1" customWidth="1"/>
    <col min="50" max="50" width="13.6640625" bestFit="1" customWidth="1"/>
    <col min="51" max="51" width="13.1640625" customWidth="1"/>
    <col min="52" max="52" width="15.83203125" bestFit="1" customWidth="1"/>
    <col min="53" max="53" width="15.6640625" customWidth="1"/>
    <col min="54" max="54" width="25.6640625" bestFit="1" customWidth="1"/>
    <col min="55" max="55" width="14.83203125" customWidth="1"/>
    <col min="56" max="56" width="11.83203125" bestFit="1" customWidth="1"/>
    <col min="57" max="57" width="16.5" bestFit="1" customWidth="1"/>
    <col min="58" max="58" width="14.1640625" bestFit="1" customWidth="1"/>
    <col min="59" max="59" width="12.83203125" bestFit="1" customWidth="1"/>
    <col min="60" max="60" width="15.6640625" bestFit="1" customWidth="1"/>
    <col min="61" max="61" width="15.6640625" customWidth="1"/>
    <col min="62" max="62" width="20.83203125" bestFit="1" customWidth="1"/>
    <col min="63" max="63" width="13.83203125" bestFit="1" customWidth="1"/>
    <col min="64" max="64" width="11.83203125" bestFit="1" customWidth="1"/>
    <col min="65" max="65" width="16.5" bestFit="1" customWidth="1"/>
    <col min="66" max="66" width="14.1640625" bestFit="1" customWidth="1"/>
    <col min="67" max="67" width="12.83203125" bestFit="1" customWidth="1"/>
    <col min="68" max="68" width="15.6640625" bestFit="1" customWidth="1"/>
    <col min="69" max="69" width="15.6640625" customWidth="1"/>
    <col min="70" max="70" width="20.83203125" bestFit="1" customWidth="1"/>
    <col min="71" max="71" width="13.83203125" customWidth="1"/>
    <col min="72" max="72" width="13.6640625" customWidth="1"/>
    <col min="73" max="73" width="16.5" bestFit="1" customWidth="1"/>
    <col min="74" max="74" width="14.1640625" bestFit="1" customWidth="1"/>
    <col min="75" max="75" width="15.6640625" bestFit="1" customWidth="1"/>
    <col min="76" max="76" width="15.6640625" customWidth="1"/>
    <col min="77" max="77" width="20.83203125" bestFit="1" customWidth="1"/>
    <col min="78" max="78" width="13.6640625" customWidth="1"/>
    <col min="79" max="79" width="13.5" customWidth="1"/>
    <col min="80" max="80" width="16.5" customWidth="1"/>
    <col min="81" max="81" width="14.1640625" bestFit="1" customWidth="1"/>
    <col min="82" max="82" width="12.83203125" bestFit="1" customWidth="1"/>
    <col min="83" max="83" width="15.6640625" bestFit="1" customWidth="1"/>
  </cols>
  <sheetData>
    <row r="1" spans="2:83" ht="17" thickBot="1"/>
    <row r="2" spans="2:83" ht="17" thickBot="1">
      <c r="B2" s="154" t="s">
        <v>353</v>
      </c>
      <c r="C2" s="97"/>
      <c r="D2" s="97"/>
      <c r="E2" s="97"/>
      <c r="F2" s="97"/>
      <c r="G2" s="97"/>
      <c r="H2" s="97"/>
      <c r="I2" s="111"/>
      <c r="J2" s="97" t="s">
        <v>192</v>
      </c>
      <c r="K2" s="97"/>
      <c r="L2" s="97"/>
      <c r="M2" s="97"/>
      <c r="N2" s="97"/>
      <c r="O2" s="97"/>
      <c r="AK2" s="4"/>
      <c r="AL2" s="6"/>
      <c r="AV2" s="158" t="s">
        <v>73</v>
      </c>
      <c r="AW2" s="159"/>
      <c r="AX2" s="159"/>
      <c r="AY2" s="159"/>
      <c r="AZ2" s="160"/>
      <c r="BB2" s="155" t="s">
        <v>94</v>
      </c>
      <c r="BC2" s="156"/>
      <c r="BD2" s="156"/>
      <c r="BE2" s="156"/>
      <c r="BF2" s="156"/>
      <c r="BG2" s="156"/>
      <c r="BH2" s="157"/>
      <c r="BJ2" s="155" t="s">
        <v>93</v>
      </c>
      <c r="BK2" s="156"/>
      <c r="BL2" s="156"/>
      <c r="BM2" s="156"/>
      <c r="BN2" s="156"/>
      <c r="BO2" s="156"/>
      <c r="BP2" s="157"/>
      <c r="BR2" s="155" t="s">
        <v>95</v>
      </c>
      <c r="BS2" s="156"/>
      <c r="BT2" s="156"/>
      <c r="BU2" s="156"/>
      <c r="BV2" s="156"/>
      <c r="BW2" s="157"/>
      <c r="BY2" s="155" t="s">
        <v>96</v>
      </c>
      <c r="BZ2" s="156"/>
      <c r="CA2" s="156"/>
      <c r="CB2" s="156"/>
      <c r="CC2" s="156"/>
      <c r="CD2" s="156"/>
      <c r="CE2" s="157"/>
    </row>
    <row r="3" spans="2:83">
      <c r="B3" s="93"/>
      <c r="C3" s="93"/>
      <c r="D3" s="93"/>
      <c r="E3" s="93"/>
      <c r="F3" s="93"/>
      <c r="G3" s="93"/>
      <c r="H3" s="93"/>
      <c r="I3" s="112"/>
      <c r="J3" s="108"/>
      <c r="K3" s="108"/>
      <c r="L3" s="108"/>
      <c r="M3" s="103" t="s">
        <v>228</v>
      </c>
      <c r="N3" s="93"/>
      <c r="O3" s="93"/>
      <c r="Q3" t="s">
        <v>323</v>
      </c>
      <c r="AV3" s="75" t="s">
        <v>137</v>
      </c>
      <c r="AW3" s="48"/>
      <c r="AX3" s="49" t="s">
        <v>74</v>
      </c>
      <c r="AY3" s="49" t="s">
        <v>75</v>
      </c>
      <c r="AZ3" s="72"/>
      <c r="BB3" s="77" t="s">
        <v>137</v>
      </c>
      <c r="BC3" s="76"/>
      <c r="BD3" s="73" t="s">
        <v>74</v>
      </c>
      <c r="BE3" s="73" t="s">
        <v>75</v>
      </c>
      <c r="BF3" s="73"/>
      <c r="BG3" s="73"/>
      <c r="BH3" s="74"/>
      <c r="BI3" s="2"/>
      <c r="BJ3" s="77" t="s">
        <v>137</v>
      </c>
      <c r="BK3" s="76"/>
      <c r="BL3" s="73" t="s">
        <v>74</v>
      </c>
      <c r="BM3" s="73" t="s">
        <v>75</v>
      </c>
      <c r="BN3" s="73"/>
      <c r="BO3" s="73"/>
      <c r="BP3" s="74"/>
      <c r="BQ3" s="2"/>
      <c r="BR3" s="77" t="s">
        <v>137</v>
      </c>
      <c r="BS3" s="76"/>
      <c r="BT3" s="73" t="s">
        <v>74</v>
      </c>
      <c r="BU3" s="73" t="s">
        <v>75</v>
      </c>
      <c r="BV3" s="73"/>
      <c r="BW3" s="74"/>
      <c r="BX3" s="2"/>
      <c r="BY3" s="77" t="s">
        <v>137</v>
      </c>
      <c r="BZ3" s="73" t="s">
        <v>74</v>
      </c>
      <c r="CA3" s="73" t="s">
        <v>75</v>
      </c>
      <c r="CB3" s="73"/>
      <c r="CC3" s="73"/>
      <c r="CD3" s="73"/>
      <c r="CE3" s="74"/>
    </row>
    <row r="4" spans="2:83">
      <c r="B4" s="24"/>
      <c r="C4" s="24"/>
      <c r="D4" s="24"/>
      <c r="E4" s="24"/>
      <c r="F4" s="24"/>
      <c r="G4" s="24"/>
      <c r="H4" s="24"/>
      <c r="I4" s="113"/>
      <c r="J4" s="109" t="s">
        <v>185</v>
      </c>
      <c r="K4" s="109"/>
      <c r="L4" s="109"/>
      <c r="M4" s="102">
        <f>U30</f>
        <v>24.159097344000003</v>
      </c>
      <c r="N4" s="24"/>
      <c r="O4" s="24"/>
      <c r="S4" t="s">
        <v>250</v>
      </c>
      <c r="U4">
        <v>14.83</v>
      </c>
      <c r="AV4" t="s">
        <v>79</v>
      </c>
      <c r="AW4" s="29"/>
      <c r="AX4">
        <v>8.9939999999999998</v>
      </c>
      <c r="AY4">
        <f>AX4*Summary!$B38</f>
        <v>71952</v>
      </c>
      <c r="AZ4" s="30"/>
      <c r="BB4" t="s">
        <v>79</v>
      </c>
      <c r="BC4" s="29"/>
      <c r="BD4">
        <v>8.9939999999999998</v>
      </c>
      <c r="BE4">
        <f>BD4*Summary!$B38</f>
        <v>71952</v>
      </c>
      <c r="BH4" s="30"/>
      <c r="BJ4" t="s">
        <v>79</v>
      </c>
      <c r="BK4" s="29"/>
      <c r="BL4">
        <v>8.9939999999999998</v>
      </c>
      <c r="BM4">
        <f>BL4*Summary!$B38</f>
        <v>71952</v>
      </c>
      <c r="BP4" s="30"/>
      <c r="BR4" t="s">
        <v>79</v>
      </c>
      <c r="BS4" s="29"/>
      <c r="BT4">
        <v>8.9939999999999998</v>
      </c>
      <c r="BU4">
        <f>BT4*Summary!$B38</f>
        <v>71952</v>
      </c>
      <c r="BW4" s="30"/>
      <c r="BY4" t="s">
        <v>79</v>
      </c>
      <c r="BZ4">
        <v>8.9939999999999998</v>
      </c>
      <c r="CA4">
        <f>BZ4*Summary!$B38</f>
        <v>71952</v>
      </c>
      <c r="CE4" s="30"/>
    </row>
    <row r="5" spans="2:83">
      <c r="B5" s="24" t="s">
        <v>259</v>
      </c>
      <c r="C5" s="24"/>
      <c r="D5" s="89">
        <f>0.93*(658.95/1000)*D6</f>
        <v>4902.5880000000006</v>
      </c>
      <c r="E5" s="24" t="s">
        <v>191</v>
      </c>
      <c r="F5" s="24"/>
      <c r="G5" s="24"/>
      <c r="H5" s="24"/>
      <c r="I5" s="113"/>
      <c r="J5" s="109" t="s">
        <v>186</v>
      </c>
      <c r="K5" s="109"/>
      <c r="L5" s="109"/>
      <c r="M5" s="83">
        <f>0.4*M4</f>
        <v>9.6636389376000018</v>
      </c>
      <c r="N5" s="24"/>
      <c r="O5" s="24"/>
      <c r="Q5" t="s">
        <v>188</v>
      </c>
      <c r="U5" s="7">
        <v>3.7640227225958474</v>
      </c>
      <c r="AV5" t="s">
        <v>112</v>
      </c>
      <c r="AX5">
        <v>100000</v>
      </c>
      <c r="AY5">
        <f>AX5*Summary!$B$38</f>
        <v>800000000</v>
      </c>
      <c r="BB5" t="s">
        <v>112</v>
      </c>
      <c r="BD5">
        <v>100000</v>
      </c>
      <c r="BE5">
        <f>BD5*Summary!$B$38</f>
        <v>800000000</v>
      </c>
      <c r="BJ5" t="s">
        <v>112</v>
      </c>
      <c r="BL5">
        <v>100000</v>
      </c>
      <c r="BM5">
        <f>BL5*Summary!$B$38</f>
        <v>800000000</v>
      </c>
      <c r="BR5" t="s">
        <v>112</v>
      </c>
      <c r="BT5">
        <v>100000</v>
      </c>
      <c r="BU5">
        <f>BT5*Summary!$B$38</f>
        <v>800000000</v>
      </c>
      <c r="BY5" t="s">
        <v>112</v>
      </c>
      <c r="BZ5">
        <v>100000</v>
      </c>
      <c r="CA5">
        <f>BZ5*Summary!$B$38</f>
        <v>800000000</v>
      </c>
    </row>
    <row r="6" spans="2:83">
      <c r="B6" s="109" t="s">
        <v>256</v>
      </c>
      <c r="C6" s="24"/>
      <c r="D6" s="24">
        <v>8000</v>
      </c>
      <c r="E6" s="24" t="s">
        <v>189</v>
      </c>
      <c r="F6" s="24"/>
      <c r="G6" s="24"/>
      <c r="H6" s="24"/>
      <c r="I6" s="113"/>
      <c r="J6" s="109" t="s">
        <v>187</v>
      </c>
      <c r="K6" s="109"/>
      <c r="L6" s="109"/>
      <c r="M6" s="83">
        <f>N6*(M4+M5)</f>
        <v>6.7645472563200002</v>
      </c>
      <c r="N6" s="84">
        <v>0.2</v>
      </c>
      <c r="O6" s="24" t="s">
        <v>229</v>
      </c>
      <c r="Q6" t="s">
        <v>236</v>
      </c>
      <c r="S6">
        <v>2</v>
      </c>
      <c r="T6" t="s">
        <v>242</v>
      </c>
      <c r="U6" s="7">
        <f>S6*7*(L23/D7)</f>
        <v>6.5359779847102363E-5</v>
      </c>
      <c r="AV6" t="s">
        <v>97</v>
      </c>
      <c r="BB6" t="s">
        <v>97</v>
      </c>
      <c r="BD6">
        <f>BD5*$BE42</f>
        <v>46600</v>
      </c>
      <c r="BE6">
        <f>BD6*Summary!$B$38</f>
        <v>372800000</v>
      </c>
      <c r="BJ6" t="s">
        <v>97</v>
      </c>
      <c r="BL6">
        <f>BL5*$BN42</f>
        <v>45560</v>
      </c>
      <c r="BM6">
        <f>BL6*Summary!$B$38</f>
        <v>364480000</v>
      </c>
      <c r="BR6" t="s">
        <v>97</v>
      </c>
      <c r="BT6">
        <f>BT5*$BV42</f>
        <v>42890</v>
      </c>
      <c r="BU6">
        <f>BT6*Summary!$B$38</f>
        <v>343120000</v>
      </c>
      <c r="BY6" t="s">
        <v>97</v>
      </c>
      <c r="BZ6">
        <f>BZ5*$CB48</f>
        <v>80040</v>
      </c>
      <c r="CA6">
        <f>BZ6*Summary!$B$38</f>
        <v>640320000</v>
      </c>
    </row>
    <row r="7" spans="2:83" ht="17" thickBot="1">
      <c r="B7" s="109"/>
      <c r="C7" s="24"/>
      <c r="D7" s="85">
        <f>(D6/8760)*365</f>
        <v>333.33333333333331</v>
      </c>
      <c r="E7" s="24" t="s">
        <v>190</v>
      </c>
      <c r="F7" s="24"/>
      <c r="G7" s="24"/>
      <c r="H7" s="24"/>
      <c r="I7" s="113"/>
      <c r="J7" s="109" t="s">
        <v>119</v>
      </c>
      <c r="K7" s="109"/>
      <c r="L7" s="109"/>
      <c r="M7" s="104">
        <f>N7*(M4+M5)</f>
        <v>3.3822736281600001</v>
      </c>
      <c r="N7" s="84">
        <v>0.1</v>
      </c>
      <c r="O7" s="24" t="s">
        <v>258</v>
      </c>
      <c r="Q7" t="s">
        <v>237</v>
      </c>
      <c r="S7">
        <v>2</v>
      </c>
      <c r="T7" t="s">
        <v>243</v>
      </c>
      <c r="U7" s="7">
        <f>S7*7*(U$4/D$7)</f>
        <v>0.62285999999999997</v>
      </c>
      <c r="AV7" t="s">
        <v>123</v>
      </c>
      <c r="AX7">
        <f>AX5*$CB48</f>
        <v>80040</v>
      </c>
      <c r="AY7">
        <f>AX7*Summary!$B$38</f>
        <v>640320000</v>
      </c>
      <c r="BB7" t="s">
        <v>123</v>
      </c>
      <c r="BD7">
        <f>BD5*$BE41</f>
        <v>37040</v>
      </c>
      <c r="BE7">
        <f>BD7*Summary!$B$38</f>
        <v>296320000</v>
      </c>
      <c r="BJ7" t="s">
        <v>123</v>
      </c>
      <c r="BL7">
        <f>BL5*$BN41</f>
        <v>38700</v>
      </c>
      <c r="BM7">
        <f>BL7*Summary!$B$38</f>
        <v>309600000</v>
      </c>
      <c r="BR7" t="s">
        <v>123</v>
      </c>
      <c r="BT7">
        <f>BV41*BT5</f>
        <v>37720</v>
      </c>
      <c r="BU7">
        <f>BT7*Summary!$B$38</f>
        <v>301760000</v>
      </c>
      <c r="BY7" t="s">
        <v>123</v>
      </c>
      <c r="BZ7">
        <f>0.0888*BZ5</f>
        <v>8880</v>
      </c>
      <c r="CA7">
        <f>BZ7*Summary!$B$38</f>
        <v>71040000</v>
      </c>
    </row>
    <row r="8" spans="2:83" ht="17" customHeight="1" thickBot="1">
      <c r="B8" s="109" t="s">
        <v>257</v>
      </c>
      <c r="C8" s="24"/>
      <c r="D8" s="92">
        <v>30</v>
      </c>
      <c r="E8" s="24" t="s">
        <v>6</v>
      </c>
      <c r="F8" s="24"/>
      <c r="G8" s="24"/>
      <c r="H8" s="24"/>
      <c r="I8" s="113"/>
      <c r="J8" s="109" t="s">
        <v>184</v>
      </c>
      <c r="K8" s="109"/>
      <c r="L8" s="109"/>
      <c r="M8" s="102">
        <f>M4*(1.4)*(1.3)</f>
        <v>43.969557166080001</v>
      </c>
      <c r="N8" s="24"/>
      <c r="O8" s="24"/>
      <c r="Q8" t="s">
        <v>238</v>
      </c>
      <c r="S8">
        <v>1</v>
      </c>
      <c r="T8" t="s">
        <v>244</v>
      </c>
      <c r="U8" s="7">
        <f>S8*7*(U$4/D$7)</f>
        <v>0.31142999999999998</v>
      </c>
      <c r="AU8" s="30"/>
      <c r="AV8" s="71" t="s">
        <v>126</v>
      </c>
      <c r="AW8" s="37" t="s">
        <v>90</v>
      </c>
      <c r="AX8" s="37" t="s">
        <v>91</v>
      </c>
      <c r="AY8" s="37" t="s">
        <v>92</v>
      </c>
      <c r="AZ8" s="38" t="s">
        <v>12</v>
      </c>
      <c r="BB8" s="69" t="s">
        <v>126</v>
      </c>
      <c r="BC8" s="39" t="s">
        <v>90</v>
      </c>
      <c r="BD8" s="39" t="s">
        <v>97</v>
      </c>
      <c r="BE8" s="39" t="s">
        <v>98</v>
      </c>
      <c r="BF8" s="39" t="s">
        <v>91</v>
      </c>
      <c r="BG8" s="39" t="s">
        <v>92</v>
      </c>
      <c r="BH8" s="40" t="s">
        <v>12</v>
      </c>
      <c r="BJ8" s="62" t="s">
        <v>126</v>
      </c>
      <c r="BK8" s="39" t="s">
        <v>90</v>
      </c>
      <c r="BL8" s="39" t="s">
        <v>97</v>
      </c>
      <c r="BM8" s="39" t="s">
        <v>98</v>
      </c>
      <c r="BN8" s="39" t="s">
        <v>91</v>
      </c>
      <c r="BO8" s="39" t="s">
        <v>92</v>
      </c>
      <c r="BP8" s="40" t="s">
        <v>12</v>
      </c>
      <c r="BR8" s="62" t="s">
        <v>126</v>
      </c>
      <c r="BS8" s="39" t="s">
        <v>90</v>
      </c>
      <c r="BT8" s="41" t="s">
        <v>99</v>
      </c>
      <c r="BU8" s="39" t="s">
        <v>91</v>
      </c>
      <c r="BV8" s="39" t="s">
        <v>92</v>
      </c>
      <c r="BW8" s="40" t="s">
        <v>12</v>
      </c>
      <c r="BY8" s="62" t="s">
        <v>126</v>
      </c>
      <c r="BZ8" s="39" t="s">
        <v>90</v>
      </c>
      <c r="CA8" s="39" t="s">
        <v>97</v>
      </c>
      <c r="CB8" s="39" t="s">
        <v>98</v>
      </c>
      <c r="CC8" s="39" t="s">
        <v>91</v>
      </c>
      <c r="CD8" s="39" t="s">
        <v>92</v>
      </c>
      <c r="CE8" s="40" t="s">
        <v>12</v>
      </c>
    </row>
    <row r="9" spans="2:83">
      <c r="B9" s="109" t="s">
        <v>263</v>
      </c>
      <c r="C9" s="127"/>
      <c r="D9" s="24">
        <f>Q27</f>
        <v>228.75</v>
      </c>
      <c r="E9" s="128" t="s">
        <v>312</v>
      </c>
      <c r="F9" s="24"/>
      <c r="G9" s="144" t="s">
        <v>264</v>
      </c>
      <c r="H9" s="24"/>
      <c r="I9" s="113"/>
      <c r="J9" s="109" t="s">
        <v>188</v>
      </c>
      <c r="K9" s="24"/>
      <c r="M9" s="83">
        <f>SUM($U$6:$U$11)</f>
        <v>3.7640227225958474</v>
      </c>
      <c r="N9" s="24"/>
      <c r="O9" s="24"/>
      <c r="Q9" t="s">
        <v>239</v>
      </c>
      <c r="S9">
        <v>4</v>
      </c>
      <c r="T9" t="s">
        <v>244</v>
      </c>
      <c r="U9" s="7">
        <f>S9*7*(U$4/D$7)</f>
        <v>1.2457199999999999</v>
      </c>
      <c r="AU9" s="30"/>
      <c r="AV9" s="56" t="s">
        <v>82</v>
      </c>
      <c r="AW9" s="35">
        <f>40677000/(10^6)</f>
        <v>40.677</v>
      </c>
      <c r="AX9" s="35">
        <f>8559000/(10^6)</f>
        <v>8.5589999999999993</v>
      </c>
      <c r="AY9" s="35">
        <f>18848000/(10^6)</f>
        <v>18.847999999999999</v>
      </c>
      <c r="AZ9" s="36">
        <f>(SUM(AW9:AY9))</f>
        <v>68.084000000000003</v>
      </c>
      <c r="BB9" s="56" t="s">
        <v>82</v>
      </c>
      <c r="BC9" s="35">
        <f>40677000/(10^6)</f>
        <v>40.677</v>
      </c>
      <c r="BD9" s="35">
        <f>9633000/(10^6)</f>
        <v>9.6329999999999991</v>
      </c>
      <c r="BE9" s="35">
        <f>7983000/(10^6)</f>
        <v>7.9829999999999997</v>
      </c>
      <c r="BF9" s="35">
        <f>4776000/(10^6)</f>
        <v>4.7759999999999998</v>
      </c>
      <c r="BG9" s="35">
        <f>19318000/(10^6)</f>
        <v>19.318000000000001</v>
      </c>
      <c r="BH9" s="36">
        <f>(SUM(BC9:BG9))</f>
        <v>82.387</v>
      </c>
      <c r="BJ9" s="56" t="s">
        <v>82</v>
      </c>
      <c r="BK9" s="35">
        <f>40677000/(10^6)</f>
        <v>40.677</v>
      </c>
      <c r="BL9" s="35">
        <f>22470000/(10^6)</f>
        <v>22.47</v>
      </c>
      <c r="BM9" s="35">
        <f>8165000/(10^6)</f>
        <v>8.1649999999999991</v>
      </c>
      <c r="BN9" s="35">
        <f>4772000/(10^6)</f>
        <v>4.7720000000000002</v>
      </c>
      <c r="BO9" s="35">
        <f>19443000/(10^6)</f>
        <v>19.443000000000001</v>
      </c>
      <c r="BP9" s="36">
        <f>(SUM(BK9:BO9))</f>
        <v>95.527000000000001</v>
      </c>
      <c r="BR9" s="56" t="s">
        <v>82</v>
      </c>
      <c r="BS9" s="35">
        <f>40677000/(10^6)</f>
        <v>40.677</v>
      </c>
      <c r="BT9" s="35">
        <f>31792000/(10^6)</f>
        <v>31.792000000000002</v>
      </c>
      <c r="BU9" s="35">
        <f>8534000/(10^6)</f>
        <v>8.5340000000000007</v>
      </c>
      <c r="BV9" s="35">
        <f>19394000/(10^6)</f>
        <v>19.393999999999998</v>
      </c>
      <c r="BW9" s="36">
        <f t="shared" ref="BW9:BW16" si="0">SUM(BS9:BV9)</f>
        <v>100.39699999999999</v>
      </c>
      <c r="BY9" s="56" t="s">
        <v>82</v>
      </c>
      <c r="BZ9" s="35">
        <f>40677000/(10^6)</f>
        <v>40.677</v>
      </c>
      <c r="CA9" s="35">
        <f>42933000/(10^6)</f>
        <v>42.933</v>
      </c>
      <c r="CB9" s="35">
        <f>13341000/(10^6)</f>
        <v>13.340999999999999</v>
      </c>
      <c r="CC9" s="35">
        <f>6366000/(10^6)</f>
        <v>6.3659999999999997</v>
      </c>
      <c r="CD9" s="35">
        <f>25808000/(10^6)</f>
        <v>25.808</v>
      </c>
      <c r="CE9" s="36">
        <f t="shared" ref="CE9:CE16" si="1">SUM(BZ9:CD9)</f>
        <v>129.125</v>
      </c>
    </row>
    <row r="10" spans="2:83" ht="17" thickBot="1">
      <c r="B10" s="110"/>
      <c r="C10" s="92"/>
      <c r="E10" s="92"/>
      <c r="F10" s="92"/>
      <c r="G10" s="92"/>
      <c r="H10" s="92"/>
      <c r="I10" s="114"/>
      <c r="J10" s="110"/>
      <c r="K10" s="92"/>
      <c r="L10" s="92"/>
      <c r="M10" s="92"/>
      <c r="N10" s="92"/>
      <c r="O10" s="92"/>
      <c r="Q10" t="s">
        <v>240</v>
      </c>
      <c r="S10">
        <v>4</v>
      </c>
      <c r="T10" t="s">
        <v>244</v>
      </c>
      <c r="U10" s="7">
        <f>S10*7*(U$4/D$7)</f>
        <v>1.2457199999999999</v>
      </c>
      <c r="AU10" s="30"/>
      <c r="AV10" s="30" t="s">
        <v>83</v>
      </c>
      <c r="AW10" s="4">
        <f>25698000/(10^6)</f>
        <v>25.698</v>
      </c>
      <c r="AX10" s="4">
        <f>5643000/(10^6)</f>
        <v>5.6429999999999998</v>
      </c>
      <c r="AY10" s="4">
        <f>17807000/(10^6)</f>
        <v>17.806999999999999</v>
      </c>
      <c r="AZ10" s="31">
        <f>(SUM(AW10:AY10))</f>
        <v>49.147999999999996</v>
      </c>
      <c r="BB10" s="30" t="s">
        <v>83</v>
      </c>
      <c r="BC10" s="4">
        <f>25698000/(10^6)</f>
        <v>25.698</v>
      </c>
      <c r="BD10" s="4">
        <f>5804000/(10^6)</f>
        <v>5.8040000000000003</v>
      </c>
      <c r="BE10" s="4">
        <f>4012000/(10^6)</f>
        <v>4.0119999999999996</v>
      </c>
      <c r="BF10" s="4">
        <f>3084000/(10^6)</f>
        <v>3.0840000000000001</v>
      </c>
      <c r="BG10" s="4">
        <f>18195000/(10^6)</f>
        <v>18.195</v>
      </c>
      <c r="BH10" s="31">
        <f>(SUM(BC10:BG10))</f>
        <v>56.793000000000006</v>
      </c>
      <c r="BJ10" s="30" t="s">
        <v>83</v>
      </c>
      <c r="BK10" s="4">
        <f>25698000/(10^6)</f>
        <v>25.698</v>
      </c>
      <c r="BL10" s="4">
        <f>10521000/(10^6)</f>
        <v>10.521000000000001</v>
      </c>
      <c r="BM10" s="4">
        <f>4501000/(10^6)</f>
        <v>4.5010000000000003</v>
      </c>
      <c r="BN10" s="4">
        <f>3075000/(10^6)</f>
        <v>3.0750000000000002</v>
      </c>
      <c r="BO10" s="4">
        <f>18280000/(10^6)</f>
        <v>18.28</v>
      </c>
      <c r="BP10" s="31">
        <f>(SUM(BK10:BO10))</f>
        <v>62.075000000000003</v>
      </c>
      <c r="BR10" s="30" t="s">
        <v>83</v>
      </c>
      <c r="BS10" s="4">
        <f>25698000/(10^6)</f>
        <v>25.698</v>
      </c>
      <c r="BT10" s="4">
        <f>17181000/(10^6)</f>
        <v>17.181000000000001</v>
      </c>
      <c r="BU10" s="4">
        <f>5590000/(10^6)</f>
        <v>5.59</v>
      </c>
      <c r="BV10" s="4">
        <f>18183000/(10^6)</f>
        <v>18.183</v>
      </c>
      <c r="BW10" s="31">
        <f t="shared" si="0"/>
        <v>66.652000000000015</v>
      </c>
      <c r="BY10" s="30" t="s">
        <v>83</v>
      </c>
      <c r="BZ10" s="4">
        <f>25698000/(10^6)</f>
        <v>25.698</v>
      </c>
      <c r="CA10" s="4">
        <f>23811000/(10^6)</f>
        <v>23.811</v>
      </c>
      <c r="CB10" s="4">
        <f>6600000/(10^6)</f>
        <v>6.6</v>
      </c>
      <c r="CC10" s="4">
        <f>4038000/(10^6)</f>
        <v>4.0380000000000003</v>
      </c>
      <c r="CD10" s="4">
        <f>22589000/(10^6)</f>
        <v>22.588999999999999</v>
      </c>
      <c r="CE10" s="31">
        <f t="shared" si="1"/>
        <v>82.736000000000004</v>
      </c>
    </row>
    <row r="11" spans="2:83" ht="17" thickBot="1">
      <c r="B11" s="97" t="s">
        <v>193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Q11" t="s">
        <v>241</v>
      </c>
      <c r="S11" s="8">
        <v>0.01</v>
      </c>
      <c r="T11" t="s">
        <v>229</v>
      </c>
      <c r="U11" s="7">
        <f>S11*(M4+M5)</f>
        <v>0.33822736281600002</v>
      </c>
      <c r="AU11" s="30"/>
      <c r="AV11" s="54" t="s">
        <v>84</v>
      </c>
      <c r="AW11" s="32">
        <f t="shared" ref="AW11:BG11" si="2">AW9+AW10</f>
        <v>66.375</v>
      </c>
      <c r="AX11" s="32">
        <f t="shared" si="2"/>
        <v>14.201999999999998</v>
      </c>
      <c r="AY11" s="32">
        <f t="shared" si="2"/>
        <v>36.655000000000001</v>
      </c>
      <c r="AZ11" s="33">
        <f t="shared" si="2"/>
        <v>117.232</v>
      </c>
      <c r="BB11" s="54" t="s">
        <v>84</v>
      </c>
      <c r="BC11" s="32">
        <f t="shared" si="2"/>
        <v>66.375</v>
      </c>
      <c r="BD11" s="32">
        <f t="shared" si="2"/>
        <v>15.436999999999999</v>
      </c>
      <c r="BE11" s="32">
        <f t="shared" si="2"/>
        <v>11.994999999999999</v>
      </c>
      <c r="BF11" s="32">
        <f t="shared" si="2"/>
        <v>7.8599999999999994</v>
      </c>
      <c r="BG11" s="32">
        <f t="shared" si="2"/>
        <v>37.513000000000005</v>
      </c>
      <c r="BH11" s="33">
        <f>SUM(BC11:BG11)</f>
        <v>139.18</v>
      </c>
      <c r="BJ11" s="54" t="s">
        <v>84</v>
      </c>
      <c r="BK11" s="32">
        <f>BK9+BK10</f>
        <v>66.375</v>
      </c>
      <c r="BL11" s="32">
        <f>BL9+BL10</f>
        <v>32.991</v>
      </c>
      <c r="BM11" s="32">
        <f>BM9+BM10</f>
        <v>12.666</v>
      </c>
      <c r="BN11" s="32">
        <f>BN9+BN10</f>
        <v>7.8470000000000004</v>
      </c>
      <c r="BO11" s="32">
        <f>BO9+BO10</f>
        <v>37.722999999999999</v>
      </c>
      <c r="BP11" s="33">
        <f>SUM(BK11:BO11)</f>
        <v>157.60199999999998</v>
      </c>
      <c r="BR11" s="54" t="s">
        <v>84</v>
      </c>
      <c r="BS11" s="32">
        <f>BS9+BS10</f>
        <v>66.375</v>
      </c>
      <c r="BT11" s="32">
        <f>BT9+BT10</f>
        <v>48.972999999999999</v>
      </c>
      <c r="BU11" s="32">
        <f>BU9+BU10</f>
        <v>14.124000000000001</v>
      </c>
      <c r="BV11" s="32">
        <f>BV9+BV10</f>
        <v>37.576999999999998</v>
      </c>
      <c r="BW11" s="33">
        <f t="shared" si="0"/>
        <v>167.04900000000001</v>
      </c>
      <c r="BY11" s="54" t="s">
        <v>84</v>
      </c>
      <c r="BZ11" s="32">
        <f>BZ9+BZ10</f>
        <v>66.375</v>
      </c>
      <c r="CA11" s="32">
        <f>CA9+CA10</f>
        <v>66.744</v>
      </c>
      <c r="CB11" s="32">
        <f>CB9+CB10</f>
        <v>19.940999999999999</v>
      </c>
      <c r="CC11" s="32">
        <f>CC9+CC10</f>
        <v>10.404</v>
      </c>
      <c r="CD11" s="32">
        <f>CD9+CD10</f>
        <v>48.396999999999998</v>
      </c>
      <c r="CE11" s="33">
        <f t="shared" si="1"/>
        <v>211.86099999999999</v>
      </c>
    </row>
    <row r="12" spans="2:83">
      <c r="B12" s="121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AU12" s="30"/>
      <c r="AV12" s="30" t="s">
        <v>85</v>
      </c>
      <c r="AW12" s="4">
        <f>1885000/(10^6)</f>
        <v>1.885</v>
      </c>
      <c r="AX12" s="4">
        <f>483000/(10^6)</f>
        <v>0.48299999999999998</v>
      </c>
      <c r="AY12" s="4">
        <f>1290000/(10^6)</f>
        <v>1.29</v>
      </c>
      <c r="AZ12" s="31">
        <f>SUM(AW12:AY12)</f>
        <v>3.6579999999999999</v>
      </c>
      <c r="BB12" s="30" t="s">
        <v>85</v>
      </c>
      <c r="BC12" s="4">
        <f>1885000/(10^6)</f>
        <v>1.885</v>
      </c>
      <c r="BD12" s="4">
        <f>415000/(10^6)</f>
        <v>0.41499999999999998</v>
      </c>
      <c r="BE12" s="4">
        <f>300000/(10^6)</f>
        <v>0.3</v>
      </c>
      <c r="BF12" s="4">
        <f>235000/(10^6)</f>
        <v>0.23499999999999999</v>
      </c>
      <c r="BG12" s="4">
        <f>1270000/(10^6)</f>
        <v>1.27</v>
      </c>
      <c r="BH12" s="31">
        <f>(SUM(BC12:BG12))</f>
        <v>4.1049999999999995</v>
      </c>
      <c r="BJ12" s="30" t="s">
        <v>85</v>
      </c>
      <c r="BK12" s="4">
        <f>1885000/(10^6)</f>
        <v>1.885</v>
      </c>
      <c r="BL12" s="4">
        <f>1200000/(10^6)</f>
        <v>1.2</v>
      </c>
      <c r="BM12" s="4">
        <f>425000/(10^6)</f>
        <v>0.42499999999999999</v>
      </c>
      <c r="BN12" s="4">
        <f>216000/(10^6)</f>
        <v>0.216</v>
      </c>
      <c r="BO12" s="4">
        <f>1280000/(10^6)</f>
        <v>1.28</v>
      </c>
      <c r="BP12" s="31">
        <f>(SUM(BK12:BO12))</f>
        <v>5.0060000000000002</v>
      </c>
      <c r="BR12" s="30" t="s">
        <v>85</v>
      </c>
      <c r="BS12" s="4">
        <f>1885000/(10^6)</f>
        <v>1.885</v>
      </c>
      <c r="BT12" s="4">
        <f>1220000/(10^6)</f>
        <v>1.22</v>
      </c>
      <c r="BU12" s="4">
        <f>396000/(10^6)</f>
        <v>0.39600000000000002</v>
      </c>
      <c r="BV12" s="4">
        <f>1274000/(10^6)</f>
        <v>1.274</v>
      </c>
      <c r="BW12" s="31">
        <f t="shared" si="0"/>
        <v>4.7750000000000004</v>
      </c>
      <c r="BY12" s="30" t="s">
        <v>85</v>
      </c>
      <c r="BZ12" s="4">
        <f>1885000/(10^6)</f>
        <v>1.885</v>
      </c>
      <c r="CA12" s="4">
        <f>1632000/(10^6)</f>
        <v>1.6319999999999999</v>
      </c>
      <c r="CB12" s="4">
        <f>528000/(10^6)</f>
        <v>0.52800000000000002</v>
      </c>
      <c r="CC12" s="4">
        <f>284000/(10^6)</f>
        <v>0.28399999999999997</v>
      </c>
      <c r="CD12" s="4">
        <f>1582000/(10^6)</f>
        <v>1.5820000000000001</v>
      </c>
      <c r="CE12" s="31">
        <f t="shared" si="1"/>
        <v>5.9109999999999996</v>
      </c>
    </row>
    <row r="13" spans="2:83" ht="17" thickBot="1">
      <c r="B13" s="122" t="s">
        <v>194</v>
      </c>
      <c r="C13" s="82"/>
      <c r="D13" s="87" t="s">
        <v>1</v>
      </c>
      <c r="E13" s="87"/>
      <c r="F13" s="88" t="s">
        <v>197</v>
      </c>
      <c r="G13" s="88"/>
      <c r="H13" s="106" t="s">
        <v>198</v>
      </c>
      <c r="I13" s="24"/>
      <c r="J13" s="105" t="s">
        <v>199</v>
      </c>
      <c r="K13" s="24"/>
      <c r="L13" s="87" t="s">
        <v>204</v>
      </c>
      <c r="M13" s="24"/>
      <c r="N13" s="105" t="s">
        <v>205</v>
      </c>
      <c r="O13" s="117"/>
      <c r="AU13" s="30"/>
      <c r="AV13" s="30" t="s">
        <v>86</v>
      </c>
      <c r="AW13" s="4">
        <f>12750000/(10^6)</f>
        <v>12.75</v>
      </c>
      <c r="AX13" s="4">
        <f>2085000/(10^6)</f>
        <v>2.085</v>
      </c>
      <c r="AY13" s="4">
        <f>6735000/(10^6)</f>
        <v>6.7350000000000003</v>
      </c>
      <c r="AZ13" s="31">
        <f>SUM(AW13:AY13)</f>
        <v>21.57</v>
      </c>
      <c r="BB13" s="30" t="s">
        <v>86</v>
      </c>
      <c r="BC13" s="4">
        <f>12750000/(10^6)</f>
        <v>12.75</v>
      </c>
      <c r="BD13" s="4">
        <f>2538000/(10^6)</f>
        <v>2.5379999999999998</v>
      </c>
      <c r="BE13" s="4">
        <f>1875000/(10^6)</f>
        <v>1.875</v>
      </c>
      <c r="BF13" s="4">
        <f>1125000/(10^6)</f>
        <v>1.125</v>
      </c>
      <c r="BG13" s="4">
        <f>6597000/(10^6)</f>
        <v>6.5970000000000004</v>
      </c>
      <c r="BH13" s="31">
        <f>(SUM(BC13:BG13))</f>
        <v>24.885000000000002</v>
      </c>
      <c r="BJ13" s="30" t="s">
        <v>86</v>
      </c>
      <c r="BK13" s="4">
        <f>12750000/(10^6)</f>
        <v>12.75</v>
      </c>
      <c r="BL13" s="4">
        <f>3139000/(10^6)</f>
        <v>3.1389999999999998</v>
      </c>
      <c r="BM13" s="4">
        <f>2038000/(10^6)</f>
        <v>2.0379999999999998</v>
      </c>
      <c r="BN13" s="4">
        <f>1400000/(10^6)</f>
        <v>1.4</v>
      </c>
      <c r="BO13" s="4">
        <f>6455000/(10^6)</f>
        <v>6.4550000000000001</v>
      </c>
      <c r="BP13" s="31">
        <f>(SUM(BK13:BO13))</f>
        <v>25.781999999999996</v>
      </c>
      <c r="BR13" s="30" t="s">
        <v>86</v>
      </c>
      <c r="BS13" s="4">
        <f>12750000/(10^6)</f>
        <v>12.75</v>
      </c>
      <c r="BT13" s="4">
        <f>7807000/(10^6)</f>
        <v>7.8070000000000004</v>
      </c>
      <c r="BU13" s="4">
        <f>2040000/(10^6)</f>
        <v>2.04</v>
      </c>
      <c r="BV13" s="4">
        <f>6779000/(10^6)</f>
        <v>6.7789999999999999</v>
      </c>
      <c r="BW13" s="31">
        <f t="shared" si="0"/>
        <v>29.376000000000001</v>
      </c>
      <c r="BY13" s="30" t="s">
        <v>86</v>
      </c>
      <c r="BZ13" s="4">
        <f>12750000/(10^6)</f>
        <v>12.75</v>
      </c>
      <c r="CA13" s="4">
        <f>10925000/(10^6)</f>
        <v>10.925000000000001</v>
      </c>
      <c r="CB13" s="4">
        <f>2894000/(10^6)</f>
        <v>2.8940000000000001</v>
      </c>
      <c r="CC13" s="4">
        <f>1485000/(10^6)</f>
        <v>1.4850000000000001</v>
      </c>
      <c r="CD13" s="4">
        <f>8614000/(10^6)</f>
        <v>8.6140000000000008</v>
      </c>
      <c r="CE13" s="31">
        <f t="shared" si="1"/>
        <v>36.668000000000006</v>
      </c>
    </row>
    <row r="14" spans="2:83" ht="17" thickBot="1">
      <c r="B14" s="123" t="s">
        <v>43</v>
      </c>
      <c r="C14" s="24"/>
      <c r="D14" s="98" t="s">
        <v>196</v>
      </c>
      <c r="E14" s="24"/>
      <c r="F14" s="99">
        <v>1</v>
      </c>
      <c r="G14" s="24"/>
      <c r="H14" s="125">
        <f>D5</f>
        <v>4902.5880000000006</v>
      </c>
      <c r="I14" s="24"/>
      <c r="J14" s="85">
        <f>N70</f>
        <v>4006.9166336414442</v>
      </c>
      <c r="K14" s="24"/>
      <c r="L14" s="101">
        <f>(J14*D5)/10^6</f>
        <v>19.644261405090944</v>
      </c>
      <c r="M14" s="99"/>
      <c r="N14" s="101">
        <f>(L14*10^6)/D5</f>
        <v>4006.9166336414442</v>
      </c>
      <c r="O14" s="85"/>
      <c r="Q14" s="22" t="s">
        <v>10</v>
      </c>
      <c r="AU14" s="30"/>
      <c r="AV14" s="54" t="s">
        <v>87</v>
      </c>
      <c r="AW14" s="32">
        <f t="shared" ref="AW14:BG14" si="3">AW13+AW12+AW11</f>
        <v>81.010000000000005</v>
      </c>
      <c r="AX14" s="32">
        <f t="shared" si="3"/>
        <v>16.77</v>
      </c>
      <c r="AY14" s="32">
        <f t="shared" si="3"/>
        <v>44.68</v>
      </c>
      <c r="AZ14" s="33">
        <f t="shared" si="3"/>
        <v>142.46</v>
      </c>
      <c r="BB14" s="54" t="s">
        <v>87</v>
      </c>
      <c r="BC14" s="32">
        <f t="shared" si="3"/>
        <v>81.010000000000005</v>
      </c>
      <c r="BD14" s="32">
        <f t="shared" si="3"/>
        <v>18.39</v>
      </c>
      <c r="BE14" s="32">
        <f t="shared" si="3"/>
        <v>14.169999999999998</v>
      </c>
      <c r="BF14" s="32">
        <f t="shared" si="3"/>
        <v>9.2199999999999989</v>
      </c>
      <c r="BG14" s="32">
        <f t="shared" si="3"/>
        <v>45.38000000000001</v>
      </c>
      <c r="BH14" s="33">
        <f>SUM(BC14:BG14)</f>
        <v>168.17000000000002</v>
      </c>
      <c r="BJ14" s="54" t="s">
        <v>87</v>
      </c>
      <c r="BK14" s="32">
        <f>BK13+BK12+BK11</f>
        <v>81.010000000000005</v>
      </c>
      <c r="BL14" s="32">
        <f>BL13+BL12+BL11</f>
        <v>37.33</v>
      </c>
      <c r="BM14" s="32">
        <f>BM13+BM12+BM11</f>
        <v>15.129</v>
      </c>
      <c r="BN14" s="32">
        <f>BN13+BN12+BN11</f>
        <v>9.463000000000001</v>
      </c>
      <c r="BO14" s="32">
        <f>BO13+BO12+BO11</f>
        <v>45.457999999999998</v>
      </c>
      <c r="BP14" s="33">
        <f>SUM(BK14:BO14)</f>
        <v>188.39</v>
      </c>
      <c r="BR14" s="54" t="s">
        <v>87</v>
      </c>
      <c r="BS14" s="32">
        <f>BS13+BS12+BS11</f>
        <v>81.010000000000005</v>
      </c>
      <c r="BT14" s="32">
        <f>BT13+BT12+BT11</f>
        <v>58</v>
      </c>
      <c r="BU14" s="32">
        <f>BU13+BU12+BU11</f>
        <v>16.560000000000002</v>
      </c>
      <c r="BV14" s="32">
        <f>BV13+BV12+BV11</f>
        <v>45.629999999999995</v>
      </c>
      <c r="BW14" s="33">
        <f t="shared" si="0"/>
        <v>201.2</v>
      </c>
      <c r="BY14" s="54" t="s">
        <v>87</v>
      </c>
      <c r="BZ14" s="32">
        <f>BZ13+BZ12+BZ11</f>
        <v>81.010000000000005</v>
      </c>
      <c r="CA14" s="32">
        <f>CA13+CA12+CA11</f>
        <v>79.301000000000002</v>
      </c>
      <c r="CB14" s="32">
        <f>CB13+CB12+CB11</f>
        <v>23.363</v>
      </c>
      <c r="CC14" s="32">
        <f>CC13+CC12+CC11</f>
        <v>12.173</v>
      </c>
      <c r="CD14" s="32">
        <f>CD13+CD12+CD11</f>
        <v>58.593000000000004</v>
      </c>
      <c r="CE14" s="33">
        <f t="shared" si="1"/>
        <v>254.44</v>
      </c>
    </row>
    <row r="15" spans="2:83" ht="17" thickBot="1">
      <c r="B15" s="123" t="s">
        <v>195</v>
      </c>
      <c r="C15" s="24"/>
      <c r="D15" s="94" t="s">
        <v>196</v>
      </c>
      <c r="E15" s="24"/>
      <c r="F15" s="93">
        <v>1</v>
      </c>
      <c r="G15" s="24"/>
      <c r="H15" s="119">
        <f>D5</f>
        <v>4902.5880000000006</v>
      </c>
      <c r="I15" s="24"/>
      <c r="J15" s="85"/>
      <c r="K15" s="24"/>
      <c r="L15" s="100">
        <f>L14</f>
        <v>19.644261405090944</v>
      </c>
      <c r="M15" s="93"/>
      <c r="N15" s="100">
        <f>N14</f>
        <v>4006.9166336414442</v>
      </c>
      <c r="O15" s="100"/>
      <c r="Q15" s="11" t="s">
        <v>56</v>
      </c>
      <c r="S15">
        <v>5</v>
      </c>
      <c r="AU15" s="30"/>
      <c r="AV15" s="30" t="s">
        <v>89</v>
      </c>
      <c r="AW15" s="4">
        <f>(0.2*AW14)</f>
        <v>16.202000000000002</v>
      </c>
      <c r="AX15" s="4">
        <f>(0.2*AX14)</f>
        <v>3.3540000000000001</v>
      </c>
      <c r="AY15" s="4">
        <f>(0.2*AY14)</f>
        <v>8.9359999999999999</v>
      </c>
      <c r="AZ15" s="31">
        <f>SUM(AW15:AY15)</f>
        <v>28.492000000000001</v>
      </c>
      <c r="BB15" s="30" t="s">
        <v>89</v>
      </c>
      <c r="BC15" s="4">
        <f>(0.2*BC14)</f>
        <v>16.202000000000002</v>
      </c>
      <c r="BD15" s="4">
        <f>(0.2*BD14)</f>
        <v>3.6780000000000004</v>
      </c>
      <c r="BE15" s="4">
        <f>(0.2*BE14)</f>
        <v>2.8339999999999996</v>
      </c>
      <c r="BF15" s="4">
        <f>(0.2*BF14)</f>
        <v>1.8439999999999999</v>
      </c>
      <c r="BG15" s="4">
        <f>(0.2*BG14)</f>
        <v>9.0760000000000023</v>
      </c>
      <c r="BH15" s="31">
        <f>(SUM(BC15:BG15))</f>
        <v>33.634000000000007</v>
      </c>
      <c r="BJ15" s="30" t="s">
        <v>89</v>
      </c>
      <c r="BK15" s="4">
        <f>(0.2*BK14)</f>
        <v>16.202000000000002</v>
      </c>
      <c r="BL15" s="4">
        <f>(0.2*BL14)</f>
        <v>7.4660000000000002</v>
      </c>
      <c r="BM15" s="4">
        <f>(0.2*BM14)</f>
        <v>3.0258000000000003</v>
      </c>
      <c r="BN15" s="4">
        <f>(0.2*BN14)</f>
        <v>1.8926000000000003</v>
      </c>
      <c r="BO15" s="4">
        <f>(0.2*BO14)</f>
        <v>9.0915999999999997</v>
      </c>
      <c r="BP15" s="31">
        <f>(SUM(BK15:BO15))</f>
        <v>37.678000000000004</v>
      </c>
      <c r="BR15" s="30" t="s">
        <v>89</v>
      </c>
      <c r="BS15" s="4">
        <f>(0.2*BS14)</f>
        <v>16.202000000000002</v>
      </c>
      <c r="BT15" s="4">
        <f>(0.2*BT14)</f>
        <v>11.600000000000001</v>
      </c>
      <c r="BU15" s="4">
        <f>(0.2*BU14)</f>
        <v>3.3120000000000007</v>
      </c>
      <c r="BV15" s="4">
        <f>(0.2*BV14)</f>
        <v>9.1259999999999994</v>
      </c>
      <c r="BW15" s="31">
        <f t="shared" si="0"/>
        <v>40.24</v>
      </c>
      <c r="BY15" s="30" t="s">
        <v>89</v>
      </c>
      <c r="BZ15" s="4">
        <f>(0.2*BZ14)</f>
        <v>16.202000000000002</v>
      </c>
      <c r="CA15" s="4">
        <f>(0.2*CA14)</f>
        <v>15.860200000000001</v>
      </c>
      <c r="CB15" s="4">
        <f>(0.2*CB14)</f>
        <v>4.6726000000000001</v>
      </c>
      <c r="CC15" s="4">
        <f>(0.2*CC14)</f>
        <v>2.4346000000000001</v>
      </c>
      <c r="CD15" s="4">
        <f>(0.2*CD14)</f>
        <v>11.718600000000002</v>
      </c>
      <c r="CE15" s="31">
        <f t="shared" si="1"/>
        <v>50.888000000000012</v>
      </c>
    </row>
    <row r="16" spans="2:83" ht="17" thickBot="1">
      <c r="B16" s="109"/>
      <c r="C16" s="24"/>
      <c r="D16" s="8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11" t="s">
        <v>55</v>
      </c>
      <c r="S16" s="4">
        <f>(6.29+0.23*S15)^0.5</f>
        <v>2.7276363393971712</v>
      </c>
      <c r="T16" t="s">
        <v>54</v>
      </c>
      <c r="AU16" s="30"/>
      <c r="AV16" s="54" t="s">
        <v>88</v>
      </c>
      <c r="AW16" s="32">
        <f t="shared" ref="AW16:BG16" si="4">AW14+AW15</f>
        <v>97.212000000000003</v>
      </c>
      <c r="AX16" s="32">
        <f t="shared" si="4"/>
        <v>20.123999999999999</v>
      </c>
      <c r="AY16" s="32">
        <f t="shared" si="4"/>
        <v>53.616</v>
      </c>
      <c r="AZ16" s="33">
        <f t="shared" si="4"/>
        <v>170.952</v>
      </c>
      <c r="BB16" s="54" t="s">
        <v>88</v>
      </c>
      <c r="BC16" s="32">
        <f t="shared" si="4"/>
        <v>97.212000000000003</v>
      </c>
      <c r="BD16" s="32">
        <f t="shared" si="4"/>
        <v>22.068000000000001</v>
      </c>
      <c r="BE16" s="32">
        <f t="shared" si="4"/>
        <v>17.003999999999998</v>
      </c>
      <c r="BF16" s="32">
        <f t="shared" si="4"/>
        <v>11.063999999999998</v>
      </c>
      <c r="BG16" s="32">
        <f t="shared" si="4"/>
        <v>54.45600000000001</v>
      </c>
      <c r="BH16" s="33">
        <f>SUM(BC16:BG16)</f>
        <v>201.804</v>
      </c>
      <c r="BJ16" s="54" t="s">
        <v>88</v>
      </c>
      <c r="BK16" s="32">
        <f>BK14+BK15</f>
        <v>97.212000000000003</v>
      </c>
      <c r="BL16" s="32">
        <f>BL14+BL15</f>
        <v>44.795999999999999</v>
      </c>
      <c r="BM16" s="32">
        <f>BM14+BM15</f>
        <v>18.154800000000002</v>
      </c>
      <c r="BN16" s="32">
        <f>BN14+BN15</f>
        <v>11.355600000000001</v>
      </c>
      <c r="BO16" s="32">
        <f>BO14+BO15</f>
        <v>54.549599999999998</v>
      </c>
      <c r="BP16" s="33">
        <f>SUM(BK16:BO16)</f>
        <v>226.06800000000001</v>
      </c>
      <c r="BR16" s="54" t="s">
        <v>88</v>
      </c>
      <c r="BS16" s="32">
        <f>BS14+BS15</f>
        <v>97.212000000000003</v>
      </c>
      <c r="BT16" s="32">
        <f>BT14+BT15</f>
        <v>69.599999999999994</v>
      </c>
      <c r="BU16" s="32">
        <f>BU14+BU15</f>
        <v>19.872000000000003</v>
      </c>
      <c r="BV16" s="32">
        <f>BV14+BV15</f>
        <v>54.755999999999993</v>
      </c>
      <c r="BW16" s="33">
        <f t="shared" si="0"/>
        <v>241.44000000000003</v>
      </c>
      <c r="BY16" s="54" t="s">
        <v>88</v>
      </c>
      <c r="BZ16" s="32">
        <f>BZ14+BZ15</f>
        <v>97.212000000000003</v>
      </c>
      <c r="CA16" s="32">
        <f>CA14+CA15</f>
        <v>95.161200000000008</v>
      </c>
      <c r="CB16" s="32">
        <f>CB14+CB15</f>
        <v>28.035599999999999</v>
      </c>
      <c r="CC16" s="32">
        <f>CC14+CC15</f>
        <v>14.6076</v>
      </c>
      <c r="CD16" s="32">
        <f>CD14+CD15</f>
        <v>70.311599999999999</v>
      </c>
      <c r="CE16" s="33">
        <f t="shared" si="1"/>
        <v>305.32799999999997</v>
      </c>
    </row>
    <row r="17" spans="2:83" ht="17" thickBot="1">
      <c r="B17" s="124" t="s">
        <v>207</v>
      </c>
      <c r="C17" s="24"/>
      <c r="D17" s="8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11" t="s">
        <v>31</v>
      </c>
      <c r="S17" s="4">
        <f>4.5*S16</f>
        <v>12.274363527287271</v>
      </c>
      <c r="AU17" s="30"/>
      <c r="AV17" s="61"/>
      <c r="AW17" s="45"/>
      <c r="AZ17" s="30"/>
      <c r="BB17" s="61"/>
      <c r="BC17" s="45"/>
      <c r="BH17" s="30"/>
      <c r="BJ17" s="61"/>
      <c r="BK17" s="45"/>
      <c r="BP17" s="30"/>
      <c r="BR17" s="61"/>
      <c r="BS17" s="45"/>
      <c r="BW17" s="30"/>
      <c r="BY17" s="61"/>
      <c r="BZ17" s="45"/>
      <c r="CE17" s="61"/>
    </row>
    <row r="18" spans="2:83" ht="17" thickBot="1">
      <c r="B18" s="123" t="s">
        <v>234</v>
      </c>
      <c r="C18" s="24"/>
      <c r="D18" s="98" t="s">
        <v>196</v>
      </c>
      <c r="E18" s="24"/>
      <c r="F18" s="101">
        <f>16/2.02</f>
        <v>7.9207920792079207</v>
      </c>
      <c r="G18" s="85"/>
      <c r="H18" s="101">
        <f>F18*D5</f>
        <v>38832.380198019804</v>
      </c>
      <c r="I18" s="24"/>
      <c r="J18" s="85">
        <v>0</v>
      </c>
      <c r="K18" s="24"/>
      <c r="L18" s="101">
        <f>(J18*H18)/10^6</f>
        <v>0</v>
      </c>
      <c r="M18" s="99"/>
      <c r="N18" s="101">
        <f>(L18*10^6)/D5</f>
        <v>0</v>
      </c>
      <c r="O18" s="115"/>
      <c r="Q18" s="11" t="s">
        <v>57</v>
      </c>
      <c r="S18">
        <v>25000</v>
      </c>
      <c r="AU18" s="30"/>
      <c r="AV18" s="71" t="s">
        <v>133</v>
      </c>
      <c r="AW18" s="51" t="s">
        <v>78</v>
      </c>
      <c r="AX18" s="51" t="s">
        <v>114</v>
      </c>
      <c r="AY18" s="51" t="s">
        <v>134</v>
      </c>
      <c r="AZ18" s="52" t="s">
        <v>142</v>
      </c>
      <c r="BB18" s="63" t="s">
        <v>133</v>
      </c>
      <c r="BC18" s="39"/>
      <c r="BD18" s="53"/>
      <c r="BE18" s="39" t="s">
        <v>78</v>
      </c>
      <c r="BF18" s="39" t="s">
        <v>114</v>
      </c>
      <c r="BG18" s="39" t="s">
        <v>134</v>
      </c>
      <c r="BH18" s="40" t="s">
        <v>142</v>
      </c>
      <c r="BJ18" s="63" t="s">
        <v>133</v>
      </c>
      <c r="BK18" s="39"/>
      <c r="BL18" s="53"/>
      <c r="BM18" s="39" t="s">
        <v>78</v>
      </c>
      <c r="BN18" s="39" t="s">
        <v>114</v>
      </c>
      <c r="BO18" s="39" t="s">
        <v>134</v>
      </c>
      <c r="BP18" s="40" t="s">
        <v>130</v>
      </c>
      <c r="BR18" s="63" t="s">
        <v>133</v>
      </c>
      <c r="BS18" s="53"/>
      <c r="BT18" s="39" t="s">
        <v>78</v>
      </c>
      <c r="BU18" s="39" t="s">
        <v>114</v>
      </c>
      <c r="BV18" s="39" t="s">
        <v>134</v>
      </c>
      <c r="BW18" s="40" t="s">
        <v>130</v>
      </c>
      <c r="BY18" s="63" t="s">
        <v>133</v>
      </c>
      <c r="BZ18" s="39"/>
      <c r="CA18" s="53"/>
      <c r="CB18" s="39" t="s">
        <v>78</v>
      </c>
      <c r="CC18" s="39" t="s">
        <v>114</v>
      </c>
      <c r="CD18" s="39" t="s">
        <v>134</v>
      </c>
      <c r="CE18" s="40" t="s">
        <v>130</v>
      </c>
    </row>
    <row r="19" spans="2:83" ht="17" thickBot="1">
      <c r="B19" s="123" t="s">
        <v>235</v>
      </c>
      <c r="C19" s="24"/>
      <c r="D19" s="94" t="s">
        <v>196</v>
      </c>
      <c r="E19" s="24"/>
      <c r="F19" s="100">
        <f>F18</f>
        <v>7.9207920792079207</v>
      </c>
      <c r="G19" s="85"/>
      <c r="H19" s="100">
        <f>H18</f>
        <v>38832.380198019804</v>
      </c>
      <c r="I19" s="24"/>
      <c r="J19" s="85"/>
      <c r="K19" s="24"/>
      <c r="L19" s="100">
        <f>L18</f>
        <v>0</v>
      </c>
      <c r="M19" s="93"/>
      <c r="N19" s="100">
        <f>N18</f>
        <v>0</v>
      </c>
      <c r="O19" s="85"/>
      <c r="AU19" s="30"/>
      <c r="AV19" s="64" t="s">
        <v>77</v>
      </c>
      <c r="AW19">
        <f>Summary!$B28*1000</f>
        <v>50</v>
      </c>
      <c r="AX19">
        <f>-(1216+347-11481)/1000</f>
        <v>9.9179999999999993</v>
      </c>
      <c r="AY19">
        <f>AX19*Summary!B38</f>
        <v>79344</v>
      </c>
      <c r="AZ19" s="57">
        <f>(AW19*AY19)/10^6</f>
        <v>3.9672000000000001</v>
      </c>
      <c r="BB19" s="64" t="s">
        <v>77</v>
      </c>
      <c r="BE19">
        <f>Summary!$B28*1000</f>
        <v>50</v>
      </c>
      <c r="BF19" s="4">
        <v>1.492</v>
      </c>
      <c r="BG19">
        <f>BF19*Summary!B38</f>
        <v>11936</v>
      </c>
      <c r="BH19" s="57">
        <f>(BE19*BG19)/10^6</f>
        <v>0.5968</v>
      </c>
      <c r="BJ19" s="64" t="s">
        <v>77</v>
      </c>
      <c r="BM19">
        <f>Summary!$B28*1000</f>
        <v>50</v>
      </c>
      <c r="BN19">
        <v>-1.07</v>
      </c>
      <c r="BO19">
        <f>BN19*Summary!$B38</f>
        <v>-8560</v>
      </c>
      <c r="BP19" s="78">
        <f>(BM19*BO19)/10^6</f>
        <v>-0.42799999999999999</v>
      </c>
      <c r="BR19" s="64" t="s">
        <v>77</v>
      </c>
      <c r="BT19">
        <f>Summary!$B28*1000</f>
        <v>50</v>
      </c>
      <c r="BU19">
        <v>0.28399999999999997</v>
      </c>
      <c r="BV19">
        <f>BU19*Summary!$B38</f>
        <v>2272</v>
      </c>
      <c r="BW19" s="78">
        <f>(BT19*BV19)/10^6</f>
        <v>0.11360000000000001</v>
      </c>
      <c r="BY19" s="64" t="s">
        <v>77</v>
      </c>
      <c r="BZ19" s="34"/>
      <c r="CB19">
        <f>Summary!$B28*1000</f>
        <v>50</v>
      </c>
      <c r="CC19">
        <v>0.42599999999999999</v>
      </c>
      <c r="CD19">
        <f>CC19*Summary!$B38</f>
        <v>3408</v>
      </c>
      <c r="CE19" s="57">
        <f>(CB19*CD19)/10^6</f>
        <v>0.1704</v>
      </c>
    </row>
    <row r="20" spans="2:83" ht="17" thickBot="1">
      <c r="B20" s="109"/>
      <c r="C20" s="24"/>
      <c r="D20" s="8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93"/>
      <c r="AU20" s="30"/>
      <c r="AV20" s="30"/>
      <c r="AW20" s="51" t="s">
        <v>131</v>
      </c>
      <c r="AX20" s="51" t="s">
        <v>74</v>
      </c>
      <c r="AY20" s="51" t="s">
        <v>75</v>
      </c>
      <c r="AZ20" s="52" t="s">
        <v>143</v>
      </c>
      <c r="BB20" s="70"/>
      <c r="BC20" s="53"/>
      <c r="BD20" s="53"/>
      <c r="BE20" s="39" t="s">
        <v>131</v>
      </c>
      <c r="BF20" s="39" t="s">
        <v>74</v>
      </c>
      <c r="BG20" s="39" t="s">
        <v>75</v>
      </c>
      <c r="BH20" s="40" t="s">
        <v>143</v>
      </c>
      <c r="BJ20" s="54"/>
      <c r="BK20" s="53"/>
      <c r="BL20" s="53"/>
      <c r="BM20" s="39" t="s">
        <v>131</v>
      </c>
      <c r="BN20" s="39" t="s">
        <v>74</v>
      </c>
      <c r="BO20" s="39" t="s">
        <v>75</v>
      </c>
      <c r="BP20" s="40" t="s">
        <v>129</v>
      </c>
      <c r="BR20" s="54"/>
      <c r="BS20" s="53"/>
      <c r="BT20" s="39" t="s">
        <v>131</v>
      </c>
      <c r="BU20" s="39" t="s">
        <v>74</v>
      </c>
      <c r="BV20" s="39" t="s">
        <v>75</v>
      </c>
      <c r="BW20" s="40" t="s">
        <v>129</v>
      </c>
      <c r="BY20" s="54"/>
      <c r="BZ20" s="53"/>
      <c r="CA20" s="53"/>
      <c r="CB20" s="39" t="s">
        <v>131</v>
      </c>
      <c r="CC20" s="39" t="s">
        <v>74</v>
      </c>
      <c r="CD20" s="39" t="s">
        <v>75</v>
      </c>
      <c r="CE20" s="40" t="s">
        <v>129</v>
      </c>
    </row>
    <row r="21" spans="2:83">
      <c r="B21" s="124" t="s">
        <v>208</v>
      </c>
      <c r="C21" s="24"/>
      <c r="D21" s="8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Q21" t="s">
        <v>2</v>
      </c>
      <c r="AU21" s="30"/>
      <c r="AV21" s="65" t="s">
        <v>127</v>
      </c>
      <c r="AW21" s="6">
        <f>$AX45/$AX46</f>
        <v>458.85416666666674</v>
      </c>
      <c r="AX21">
        <v>30563</v>
      </c>
      <c r="AY21">
        <f>(AX21/1000)*Summary!B38</f>
        <v>244504</v>
      </c>
      <c r="AZ21" s="58">
        <f>(AW21*AY21)/10^6</f>
        <v>112.19167916666669</v>
      </c>
      <c r="BB21" s="65" t="s">
        <v>127</v>
      </c>
      <c r="BE21" s="6">
        <f>$AX45/$AX46</f>
        <v>458.85416666666674</v>
      </c>
      <c r="BF21" s="4">
        <f>BF22+BF23</f>
        <v>31.562000000000001</v>
      </c>
      <c r="BG21">
        <f>BF21*Summary!$B$38</f>
        <v>252496</v>
      </c>
      <c r="BH21" s="31">
        <f>(BE21*BG21)/10^6</f>
        <v>115.85884166666669</v>
      </c>
      <c r="BJ21" s="65" t="s">
        <v>127</v>
      </c>
      <c r="BM21" s="6">
        <f>$AX45/$AX46</f>
        <v>458.85416666666674</v>
      </c>
      <c r="BN21">
        <f>BN22+BN23</f>
        <v>31.828000000000003</v>
      </c>
      <c r="BO21">
        <f>BN21*Summary!$B$38</f>
        <v>254624.00000000003</v>
      </c>
      <c r="BP21" s="58">
        <f>(BM21*BO21)/10^6</f>
        <v>116.83528333333338</v>
      </c>
      <c r="BR21" s="65" t="s">
        <v>127</v>
      </c>
      <c r="BT21" s="6">
        <f>$AX45/$AX46</f>
        <v>458.85416666666674</v>
      </c>
      <c r="BU21">
        <f>BU22+BU23</f>
        <v>30.495000000000001</v>
      </c>
      <c r="BV21">
        <f>BU21*Summary!$B$38</f>
        <v>243960</v>
      </c>
      <c r="BW21" s="58">
        <f>(BT21*BV21)/10^6</f>
        <v>111.94206250000002</v>
      </c>
      <c r="BY21" s="65" t="s">
        <v>127</v>
      </c>
      <c r="CB21" s="6">
        <f>$AX45/$AX46</f>
        <v>458.85416666666674</v>
      </c>
      <c r="CC21">
        <f>CC22+CC23</f>
        <v>33.579000000000001</v>
      </c>
      <c r="CD21">
        <f>CC21*Summary!$B$38</f>
        <v>268632</v>
      </c>
      <c r="CE21" s="58">
        <f>(CB21*CD21)/10^6</f>
        <v>123.26291250000001</v>
      </c>
    </row>
    <row r="22" spans="2:83">
      <c r="B22" s="123" t="s">
        <v>354</v>
      </c>
      <c r="C22" s="24"/>
      <c r="D22" s="98" t="s">
        <v>196</v>
      </c>
      <c r="E22" s="24"/>
      <c r="F22" s="101">
        <f>(1.5*'Intermediate Calculations'!$M$8)/'Intermediate Calculations'!$M$3</f>
        <v>1.5871058657741768</v>
      </c>
      <c r="G22" s="85"/>
      <c r="H22" s="101">
        <f>F22*D5</f>
        <v>7780.9261722740912</v>
      </c>
      <c r="I22" s="24"/>
      <c r="J22" s="85">
        <f>Summary!B30</f>
        <v>0.2</v>
      </c>
      <c r="K22" s="24"/>
      <c r="L22" s="101">
        <f>(J22/10^6)*H22</f>
        <v>1.5561852344548183E-3</v>
      </c>
      <c r="M22" s="99"/>
      <c r="N22" s="101">
        <f>(L22*10^6)/D5</f>
        <v>0.31742117315483537</v>
      </c>
      <c r="O22" s="115"/>
      <c r="Q22" t="s">
        <v>346</v>
      </c>
      <c r="AU22" s="30"/>
      <c r="AV22" s="66" t="s">
        <v>128</v>
      </c>
      <c r="AZ22" s="30"/>
      <c r="BB22" s="66" t="s">
        <v>128</v>
      </c>
      <c r="BF22" s="4">
        <v>26.262</v>
      </c>
      <c r="BG22">
        <f>BF22*Summary!$B$38</f>
        <v>210096</v>
      </c>
      <c r="BH22" s="30"/>
      <c r="BJ22" s="66" t="s">
        <v>128</v>
      </c>
      <c r="BN22">
        <v>26.231000000000002</v>
      </c>
      <c r="BO22">
        <f>BN22*Summary!$B$38</f>
        <v>209848</v>
      </c>
      <c r="BP22" s="30"/>
      <c r="BR22" s="66" t="s">
        <v>128</v>
      </c>
      <c r="BU22">
        <v>26.231000000000002</v>
      </c>
      <c r="BV22">
        <f>BU22*Summary!$B$38</f>
        <v>209848</v>
      </c>
      <c r="BW22" s="30"/>
      <c r="BY22" s="66" t="s">
        <v>128</v>
      </c>
      <c r="CC22">
        <v>26.231000000000002</v>
      </c>
      <c r="CD22">
        <f>CC22*Summary!$B$38</f>
        <v>209848</v>
      </c>
      <c r="CE22" s="30"/>
    </row>
    <row r="23" spans="2:83">
      <c r="B23" s="123"/>
      <c r="C23" s="24" t="s">
        <v>254</v>
      </c>
      <c r="D23" s="93"/>
      <c r="E23" s="24"/>
      <c r="F23" s="100">
        <f>F22</f>
        <v>1.5871058657741768</v>
      </c>
      <c r="G23" s="85"/>
      <c r="H23" s="119">
        <f>H22</f>
        <v>7780.9261722740912</v>
      </c>
      <c r="I23" s="24"/>
      <c r="J23" s="85"/>
      <c r="K23" s="24"/>
      <c r="L23" s="100">
        <f>L22</f>
        <v>1.5561852344548183E-3</v>
      </c>
      <c r="M23" s="93"/>
      <c r="N23" s="100">
        <f>N22</f>
        <v>0.31742117315483537</v>
      </c>
      <c r="O23" s="100"/>
      <c r="Q23" s="1">
        <v>1.25</v>
      </c>
      <c r="AU23" s="30"/>
      <c r="AV23" s="66" t="s">
        <v>113</v>
      </c>
      <c r="AZ23" s="30"/>
      <c r="BB23" s="66" t="s">
        <v>113</v>
      </c>
      <c r="BF23" s="4">
        <v>5.3</v>
      </c>
      <c r="BG23">
        <f>BF23*Summary!$B$38</f>
        <v>42400</v>
      </c>
      <c r="BH23" s="30"/>
      <c r="BJ23" s="66" t="s">
        <v>113</v>
      </c>
      <c r="BN23">
        <v>5.5970000000000004</v>
      </c>
      <c r="BO23">
        <f>BN23*Summary!$B$38</f>
        <v>44776</v>
      </c>
      <c r="BP23" s="30"/>
      <c r="BR23" s="66" t="s">
        <v>113</v>
      </c>
      <c r="BU23">
        <v>4.2640000000000002</v>
      </c>
      <c r="BV23">
        <f>BU23*Summary!$B$38</f>
        <v>34112</v>
      </c>
      <c r="BW23" s="30"/>
      <c r="BY23" s="66" t="s">
        <v>113</v>
      </c>
      <c r="CC23">
        <v>7.3479999999999999</v>
      </c>
      <c r="CD23">
        <f>CC23*Summary!$B$38</f>
        <v>58784</v>
      </c>
      <c r="CE23" s="30"/>
    </row>
    <row r="24" spans="2:83">
      <c r="B24" s="10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AU24" s="30"/>
      <c r="AV24" s="65" t="s">
        <v>135</v>
      </c>
      <c r="AX24">
        <v>59700</v>
      </c>
      <c r="AY24">
        <f>(AX24/1000)*Summary!B38</f>
        <v>477600</v>
      </c>
      <c r="AZ24" s="59">
        <f>99400/(10^6)</f>
        <v>9.9400000000000002E-2</v>
      </c>
      <c r="BB24" s="65" t="s">
        <v>76</v>
      </c>
      <c r="BF24">
        <v>61200</v>
      </c>
      <c r="BG24">
        <f>(BF24/1000)*Summary!B38</f>
        <v>489600</v>
      </c>
      <c r="BH24" s="59">
        <f>101900/(10^6)</f>
        <v>0.1019</v>
      </c>
      <c r="BJ24" s="65" t="s">
        <v>76</v>
      </c>
      <c r="BN24">
        <v>60900</v>
      </c>
      <c r="BO24">
        <v>506810</v>
      </c>
      <c r="BP24" s="59">
        <f>101400/(10^6)</f>
        <v>0.1014</v>
      </c>
      <c r="BR24" s="65" t="s">
        <v>76</v>
      </c>
      <c r="BU24">
        <v>59700</v>
      </c>
      <c r="BV24">
        <v>496823</v>
      </c>
      <c r="BW24" s="59">
        <f>99400/(10^6)</f>
        <v>9.9400000000000002E-2</v>
      </c>
      <c r="BY24" s="65" t="s">
        <v>76</v>
      </c>
      <c r="CC24">
        <v>42100</v>
      </c>
      <c r="CD24">
        <v>350356</v>
      </c>
      <c r="CE24" s="59">
        <f>70100/(10^6)</f>
        <v>7.0099999999999996E-2</v>
      </c>
    </row>
    <row r="25" spans="2:83">
      <c r="B25" s="109"/>
      <c r="C25" s="24"/>
      <c r="D25" s="24"/>
      <c r="E25" s="24"/>
      <c r="F25" s="85"/>
      <c r="G25" s="85"/>
      <c r="H25" s="24" t="s">
        <v>253</v>
      </c>
      <c r="I25" s="24"/>
      <c r="J25" s="24"/>
      <c r="K25" s="24"/>
      <c r="L25" s="85">
        <f>L15+L19-L23</f>
        <v>19.642705219856488</v>
      </c>
      <c r="M25" s="24"/>
      <c r="N25" s="85">
        <f>N15+N19+N23</f>
        <v>4007.2340548145989</v>
      </c>
      <c r="O25" s="85"/>
      <c r="Q25" t="s">
        <v>348</v>
      </c>
      <c r="AU25" s="30"/>
      <c r="AV25" s="65" t="s">
        <v>66</v>
      </c>
      <c r="AZ25" s="59">
        <f>100000/(10^6)</f>
        <v>0.1</v>
      </c>
      <c r="BB25" s="65" t="s">
        <v>66</v>
      </c>
      <c r="BH25" s="59">
        <f>100000/(10^6)</f>
        <v>0.1</v>
      </c>
      <c r="BJ25" s="65" t="s">
        <v>66</v>
      </c>
      <c r="BP25" s="59">
        <f>100000/(10^6)</f>
        <v>0.1</v>
      </c>
      <c r="BR25" s="65" t="s">
        <v>66</v>
      </c>
      <c r="BW25" s="59">
        <f>100000/(10^6)</f>
        <v>0.1</v>
      </c>
      <c r="BY25" s="65" t="s">
        <v>66</v>
      </c>
      <c r="CE25" s="59">
        <f>100000/(10^6)</f>
        <v>0.1</v>
      </c>
    </row>
    <row r="26" spans="2:83" ht="17" thickBot="1">
      <c r="B26" s="110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Q26">
        <v>183</v>
      </c>
      <c r="R26" s="1" t="s">
        <v>347</v>
      </c>
      <c r="AU26" s="30"/>
      <c r="AV26" s="65" t="s">
        <v>14</v>
      </c>
      <c r="AZ26" s="59">
        <f>320000/(10^6)</f>
        <v>0.32</v>
      </c>
      <c r="BB26" s="65" t="s">
        <v>14</v>
      </c>
      <c r="BH26" s="59">
        <f>320000/(10^6)</f>
        <v>0.32</v>
      </c>
      <c r="BJ26" s="65" t="s">
        <v>14</v>
      </c>
      <c r="BP26" s="59">
        <f>320000/(10^6)</f>
        <v>0.32</v>
      </c>
      <c r="BR26" s="65" t="s">
        <v>14</v>
      </c>
      <c r="BW26" s="59">
        <f>320000/(10^6)</f>
        <v>0.32</v>
      </c>
      <c r="BY26" s="65" t="s">
        <v>14</v>
      </c>
      <c r="CE26" s="59">
        <f>320000/(10^6)</f>
        <v>0.32</v>
      </c>
    </row>
    <row r="27" spans="2:83" ht="17" thickBot="1">
      <c r="B27" s="97" t="s">
        <v>200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Q27">
        <f>Q23*Q26</f>
        <v>228.75</v>
      </c>
      <c r="R27" t="s">
        <v>349</v>
      </c>
      <c r="AU27" s="30"/>
      <c r="AV27" s="67"/>
      <c r="AW27" s="50"/>
      <c r="AX27" s="51" t="s">
        <v>136</v>
      </c>
      <c r="AY27" s="51" t="s">
        <v>80</v>
      </c>
      <c r="AZ27" s="52" t="s">
        <v>143</v>
      </c>
      <c r="BB27" s="67"/>
      <c r="BC27" s="55"/>
      <c r="BD27" s="53"/>
      <c r="BE27" s="39"/>
      <c r="BF27" s="39" t="s">
        <v>136</v>
      </c>
      <c r="BG27" s="39" t="s">
        <v>80</v>
      </c>
      <c r="BH27" s="40" t="s">
        <v>143</v>
      </c>
      <c r="BJ27" s="67"/>
      <c r="BK27" s="55"/>
      <c r="BL27" s="53"/>
      <c r="BM27" s="39"/>
      <c r="BN27" s="39" t="s">
        <v>136</v>
      </c>
      <c r="BO27" s="39" t="s">
        <v>80</v>
      </c>
      <c r="BP27" s="40" t="s">
        <v>129</v>
      </c>
      <c r="BR27" s="67"/>
      <c r="BS27" s="55"/>
      <c r="BT27" s="39"/>
      <c r="BU27" s="39" t="s">
        <v>136</v>
      </c>
      <c r="BV27" s="39" t="s">
        <v>80</v>
      </c>
      <c r="BW27" s="40" t="s">
        <v>129</v>
      </c>
      <c r="BY27" s="67"/>
      <c r="BZ27" s="55"/>
      <c r="CA27" s="53"/>
      <c r="CB27" s="39"/>
      <c r="CC27" s="39" t="s">
        <v>136</v>
      </c>
      <c r="CD27" s="39" t="s">
        <v>80</v>
      </c>
      <c r="CE27" s="40" t="s">
        <v>129</v>
      </c>
    </row>
    <row r="28" spans="2:83">
      <c r="B28" s="108"/>
      <c r="C28" s="93"/>
      <c r="D28" s="96" t="s">
        <v>1</v>
      </c>
      <c r="E28" s="96"/>
      <c r="F28" s="96" t="s">
        <v>197</v>
      </c>
      <c r="G28" s="96"/>
      <c r="H28" s="96" t="s">
        <v>198</v>
      </c>
      <c r="I28" s="94"/>
      <c r="J28" s="118" t="s">
        <v>199</v>
      </c>
      <c r="K28" s="94"/>
      <c r="L28" s="96" t="s">
        <v>204</v>
      </c>
      <c r="M28" s="94"/>
      <c r="N28" s="96" t="s">
        <v>205</v>
      </c>
      <c r="O28" s="96"/>
      <c r="S28" t="s">
        <v>10</v>
      </c>
      <c r="T28" t="s">
        <v>183</v>
      </c>
      <c r="U28" t="s">
        <v>260</v>
      </c>
      <c r="AU28" s="30"/>
      <c r="AV28" s="30" t="s">
        <v>31</v>
      </c>
      <c r="AX28" t="e">
        <f>Summary!#REF!</f>
        <v>#REF!</v>
      </c>
      <c r="AY28">
        <v>38</v>
      </c>
      <c r="AZ28" s="59" t="e">
        <f>(AX28*AY28)/10^6</f>
        <v>#REF!</v>
      </c>
      <c r="BB28" s="30" t="s">
        <v>31</v>
      </c>
      <c r="BF28" t="e">
        <f>Summary!#REF!</f>
        <v>#REF!</v>
      </c>
      <c r="BG28">
        <v>43</v>
      </c>
      <c r="BH28" s="59" t="e">
        <f>(BF28*BG28)/(10^6)</f>
        <v>#REF!</v>
      </c>
      <c r="BJ28" s="30" t="s">
        <v>31</v>
      </c>
      <c r="BN28" t="e">
        <f>Summary!#REF!</f>
        <v>#REF!</v>
      </c>
      <c r="BO28">
        <v>43</v>
      </c>
      <c r="BP28" s="59" t="e">
        <f>(BN28*BO28)/(10^6)</f>
        <v>#REF!</v>
      </c>
      <c r="BR28" s="30" t="s">
        <v>31</v>
      </c>
      <c r="BU28" t="e">
        <f>Summary!#REF!</f>
        <v>#REF!</v>
      </c>
      <c r="BV28">
        <v>43</v>
      </c>
      <c r="BW28" s="59" t="e">
        <f>(BU28*BV28)/(10^6)</f>
        <v>#REF!</v>
      </c>
      <c r="BY28" s="30" t="s">
        <v>31</v>
      </c>
      <c r="CC28" t="e">
        <f>Summary!#REF!</f>
        <v>#REF!</v>
      </c>
      <c r="CD28">
        <v>43</v>
      </c>
      <c r="CE28" s="59" t="e">
        <f>(CC28*CD28)/(10^6)</f>
        <v>#REF!</v>
      </c>
    </row>
    <row r="29" spans="2:83">
      <c r="B29" s="109" t="s">
        <v>32</v>
      </c>
      <c r="C29" s="24"/>
      <c r="D29" s="82" t="s">
        <v>202</v>
      </c>
      <c r="E29" s="24"/>
      <c r="F29" s="85">
        <v>0</v>
      </c>
      <c r="G29" s="85"/>
      <c r="H29" s="85">
        <v>0</v>
      </c>
      <c r="I29" s="85"/>
      <c r="J29" s="85">
        <v>0</v>
      </c>
      <c r="K29" s="85"/>
      <c r="L29" s="101">
        <v>0</v>
      </c>
      <c r="M29" s="101"/>
      <c r="N29" s="101">
        <v>0</v>
      </c>
      <c r="O29" s="115"/>
      <c r="Q29" t="s">
        <v>181</v>
      </c>
      <c r="S29" s="7">
        <f>(D9*1000*D8)/10^6</f>
        <v>6.8624999999999998</v>
      </c>
      <c r="T29" s="7">
        <f>SUM(S37:S40)/10^6</f>
        <v>0.34360895999999996</v>
      </c>
      <c r="U29" s="7">
        <f>S29+T29</f>
        <v>7.2061089599999999</v>
      </c>
      <c r="AU29" s="30"/>
      <c r="AV29" s="30"/>
      <c r="AZ29" s="30"/>
      <c r="BB29" s="30"/>
      <c r="BH29" s="30"/>
      <c r="BJ29" s="30"/>
      <c r="BP29" s="30"/>
      <c r="BR29" s="30"/>
      <c r="BW29" s="30"/>
      <c r="BY29" s="30"/>
      <c r="CE29" s="30"/>
    </row>
    <row r="30" spans="2:83">
      <c r="B30" s="109"/>
      <c r="C30" s="24" t="s">
        <v>203</v>
      </c>
      <c r="D30" s="24"/>
      <c r="E30" s="24"/>
      <c r="F30" s="24"/>
      <c r="G30" s="24"/>
      <c r="H30" s="24"/>
      <c r="I30" s="24"/>
      <c r="J30" s="24"/>
      <c r="K30" s="24"/>
      <c r="L30" s="100">
        <f>SUM(L29:L29)</f>
        <v>0</v>
      </c>
      <c r="M30" s="93"/>
      <c r="N30" s="100">
        <f>SUM(N29:N29)</f>
        <v>0</v>
      </c>
      <c r="O30" s="85"/>
      <c r="Q30" t="s">
        <v>182</v>
      </c>
      <c r="S30" s="7">
        <f>U29*$S$52</f>
        <v>23.059548672000002</v>
      </c>
      <c r="T30" s="7">
        <f>T29*$S$52</f>
        <v>1.0995486719999998</v>
      </c>
      <c r="U30" s="7">
        <f>S30+T30</f>
        <v>24.159097344000003</v>
      </c>
      <c r="AU30" s="30"/>
      <c r="AV30" s="30"/>
      <c r="AZ30" s="30"/>
      <c r="BB30" s="30"/>
      <c r="BH30" s="30"/>
      <c r="BJ30" s="30"/>
      <c r="BP30" s="30"/>
      <c r="BR30" s="30"/>
      <c r="BW30" s="30"/>
      <c r="BY30" s="30"/>
      <c r="CE30" s="30"/>
    </row>
    <row r="31" spans="2:83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Q31" t="s">
        <v>184</v>
      </c>
      <c r="S31" s="7">
        <f>S30*$S$56</f>
        <v>41.968378583040007</v>
      </c>
      <c r="T31" s="7">
        <f>T30*$S$56</f>
        <v>2.0011785830400002</v>
      </c>
      <c r="U31" s="7">
        <f>S31+T31</f>
        <v>43.969557166080008</v>
      </c>
      <c r="AU31" s="30"/>
      <c r="AV31" s="65" t="s">
        <v>81</v>
      </c>
      <c r="AZ31" s="31">
        <f>0.015*AZ16</f>
        <v>2.5642799999999997</v>
      </c>
      <c r="BB31" s="65" t="s">
        <v>81</v>
      </c>
      <c r="BE31" s="4"/>
      <c r="BF31" s="4"/>
      <c r="BG31" s="4"/>
      <c r="BH31" s="31">
        <f>0.015*BH16</f>
        <v>3.0270600000000001</v>
      </c>
      <c r="BJ31" s="65" t="s">
        <v>81</v>
      </c>
      <c r="BM31" s="4"/>
      <c r="BN31" s="4"/>
      <c r="BO31" s="4"/>
      <c r="BP31" s="31">
        <f>0.015*BP16</f>
        <v>3.3910200000000001</v>
      </c>
      <c r="BR31" s="65" t="s">
        <v>81</v>
      </c>
      <c r="BU31" s="4"/>
      <c r="BV31" s="4"/>
      <c r="BW31" s="31">
        <f>0.015*BW16</f>
        <v>3.6216000000000004</v>
      </c>
      <c r="BY31" s="65" t="s">
        <v>81</v>
      </c>
      <c r="CC31" s="4"/>
      <c r="CD31" s="4"/>
      <c r="CE31" s="31">
        <f>0.015*CE16</f>
        <v>4.5799199999999995</v>
      </c>
    </row>
    <row r="32" spans="2:83">
      <c r="B32" s="97" t="s">
        <v>206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AU32" s="30"/>
      <c r="AV32" s="30" t="s">
        <v>115</v>
      </c>
      <c r="AZ32" s="31">
        <f>0.005*AZ$16</f>
        <v>0.85475999999999996</v>
      </c>
      <c r="BB32" s="30" t="s">
        <v>115</v>
      </c>
      <c r="BE32" s="4"/>
      <c r="BF32" s="4"/>
      <c r="BG32" s="4"/>
      <c r="BH32" s="31">
        <f>0.005*BH$16</f>
        <v>1.00902</v>
      </c>
      <c r="BJ32" s="30" t="s">
        <v>115</v>
      </c>
      <c r="BM32" s="4"/>
      <c r="BN32" s="4"/>
      <c r="BO32" s="4"/>
      <c r="BP32" s="31">
        <f>0.005*BP$16</f>
        <v>1.1303400000000001</v>
      </c>
      <c r="BR32" s="30" t="s">
        <v>115</v>
      </c>
      <c r="BU32" s="4"/>
      <c r="BV32" s="4"/>
      <c r="BW32" s="31">
        <f>0.005*BW$16</f>
        <v>1.2072000000000001</v>
      </c>
      <c r="BY32" s="30" t="s">
        <v>115</v>
      </c>
      <c r="CC32" s="4"/>
      <c r="CD32" s="4"/>
      <c r="CE32" s="31">
        <f>0.005*CE$16</f>
        <v>1.52664</v>
      </c>
    </row>
    <row r="33" spans="2:84">
      <c r="B33" s="93"/>
      <c r="C33" s="93"/>
      <c r="D33" s="96" t="s">
        <v>1</v>
      </c>
      <c r="E33" s="96"/>
      <c r="F33" s="96" t="s">
        <v>197</v>
      </c>
      <c r="G33" s="96"/>
      <c r="H33" s="96" t="s">
        <v>198</v>
      </c>
      <c r="I33" s="94"/>
      <c r="J33" s="118" t="s">
        <v>199</v>
      </c>
      <c r="K33" s="94"/>
      <c r="L33" s="96" t="s">
        <v>204</v>
      </c>
      <c r="M33" s="94"/>
      <c r="N33" s="96" t="s">
        <v>205</v>
      </c>
      <c r="O33" s="96"/>
      <c r="Q33" t="s">
        <v>350</v>
      </c>
      <c r="AU33" s="30"/>
      <c r="AV33" s="65" t="s">
        <v>116</v>
      </c>
      <c r="AZ33" s="31">
        <f>0.005*AZ$16</f>
        <v>0.85475999999999996</v>
      </c>
      <c r="BB33" s="65" t="s">
        <v>116</v>
      </c>
      <c r="BE33" s="4"/>
      <c r="BF33" s="4" t="s">
        <v>100</v>
      </c>
      <c r="BG33" s="4"/>
      <c r="BH33" s="31">
        <f>0.005*BH$16</f>
        <v>1.00902</v>
      </c>
      <c r="BJ33" s="65" t="s">
        <v>116</v>
      </c>
      <c r="BM33" s="4"/>
      <c r="BN33" s="4"/>
      <c r="BO33" s="4"/>
      <c r="BP33" s="31">
        <f>0.005*BP$16</f>
        <v>1.1303400000000001</v>
      </c>
      <c r="BR33" s="65" t="s">
        <v>116</v>
      </c>
      <c r="BT33" s="4"/>
      <c r="BU33" s="4"/>
      <c r="BV33" s="4"/>
      <c r="BW33" s="31">
        <f>0.005*BW$16</f>
        <v>1.2072000000000001</v>
      </c>
      <c r="BY33" s="65" t="s">
        <v>116</v>
      </c>
      <c r="CB33" s="4"/>
      <c r="CC33" s="4"/>
      <c r="CD33" s="4"/>
      <c r="CE33" s="31">
        <f>0.005*CE$16</f>
        <v>1.52664</v>
      </c>
    </row>
    <row r="34" spans="2:84" ht="17" thickBot="1">
      <c r="B34" s="24" t="s">
        <v>30</v>
      </c>
      <c r="C34" s="24"/>
      <c r="D34" s="82" t="s">
        <v>29</v>
      </c>
      <c r="E34" s="24"/>
      <c r="F34" s="85">
        <f>9.72*('NH3'!D5/D5)</f>
        <v>49.109362078967273</v>
      </c>
      <c r="G34" s="24"/>
      <c r="H34" s="85">
        <f>F34*D5</f>
        <v>240762.96921600003</v>
      </c>
      <c r="I34" s="24"/>
      <c r="J34" s="85">
        <f>Summary!$B$28*1000</f>
        <v>50</v>
      </c>
      <c r="K34" s="24"/>
      <c r="L34" s="85">
        <f>(J34*H34)/10^6</f>
        <v>12.038148460800002</v>
      </c>
      <c r="M34" s="24"/>
      <c r="N34" s="85">
        <f>(L34*10^6)/D5</f>
        <v>2455.4681039483635</v>
      </c>
      <c r="O34" s="115"/>
      <c r="Q34">
        <v>1.28</v>
      </c>
      <c r="AU34" s="30"/>
      <c r="AV34" s="68" t="s">
        <v>16</v>
      </c>
      <c r="AZ34" s="60">
        <f>AZ16*Summary!$B$34</f>
        <v>17.41183880273524</v>
      </c>
      <c r="BB34" s="68" t="s">
        <v>16</v>
      </c>
      <c r="BE34" s="4"/>
      <c r="BF34" s="4"/>
      <c r="BG34" s="4"/>
      <c r="BH34" s="60">
        <f>BH16*Summary!$B$34</f>
        <v>20.554183149347082</v>
      </c>
      <c r="BJ34" s="68" t="s">
        <v>16</v>
      </c>
      <c r="BM34" s="4"/>
      <c r="BN34" s="4"/>
      <c r="BO34" s="4"/>
      <c r="BP34" s="60">
        <f>BP16*Summary!$B$34</f>
        <v>23.025525144232009</v>
      </c>
      <c r="BR34" s="68" t="s">
        <v>16</v>
      </c>
      <c r="BT34" s="4"/>
      <c r="BU34" s="4"/>
      <c r="BV34" s="4"/>
      <c r="BW34" s="60">
        <f>BW16*Summary!$B$34</f>
        <v>24.591197298261481</v>
      </c>
      <c r="BY34" s="68" t="s">
        <v>16</v>
      </c>
      <c r="CB34" s="4"/>
      <c r="CC34" s="4"/>
      <c r="CD34" s="4"/>
      <c r="CE34" s="60">
        <f>CE16*Summary!$B$34</f>
        <v>31.098331215554921</v>
      </c>
    </row>
    <row r="35" spans="2:84">
      <c r="B35" s="24" t="s">
        <v>252</v>
      </c>
      <c r="C35" s="24"/>
      <c r="D35" s="82" t="s">
        <v>196</v>
      </c>
      <c r="E35" s="24"/>
      <c r="F35" s="85">
        <f>H35/D5</f>
        <v>8158.9560452560963</v>
      </c>
      <c r="G35" s="85"/>
      <c r="H35" s="24">
        <f>5000*D6</f>
        <v>40000000</v>
      </c>
      <c r="I35" s="24"/>
      <c r="J35" s="85">
        <v>0</v>
      </c>
      <c r="K35" s="24"/>
      <c r="L35" s="101">
        <f>(J35*H35)/10^6</f>
        <v>0</v>
      </c>
      <c r="M35" s="99"/>
      <c r="N35" s="101">
        <f>(L35*10^6)/D5</f>
        <v>0</v>
      </c>
      <c r="O35" s="85"/>
      <c r="R35" t="s">
        <v>351</v>
      </c>
      <c r="S35" t="s">
        <v>352</v>
      </c>
      <c r="AV35" s="44" t="s">
        <v>138</v>
      </c>
      <c r="AW35" s="42"/>
      <c r="AX35" s="45"/>
      <c r="AY35" s="45"/>
      <c r="AZ35" s="35" t="e">
        <f>AZ34+AZ33+AZ32+AZ31+AZ21+AZ28+AZ26+AZ25+AZ24-AZ19</f>
        <v>#REF!</v>
      </c>
      <c r="BB35" s="44" t="s">
        <v>138</v>
      </c>
      <c r="BD35" s="45"/>
      <c r="BE35" s="35"/>
      <c r="BF35" s="35"/>
      <c r="BG35" s="35"/>
      <c r="BH35" s="35" t="e">
        <f>BH34+BH33+BH32+BH31+BH21+BH28+BH26+BH25+BH24-BH19</f>
        <v>#REF!</v>
      </c>
      <c r="BJ35" s="44" t="s">
        <v>138</v>
      </c>
      <c r="BL35" s="45"/>
      <c r="BM35" s="35"/>
      <c r="BN35" s="35"/>
      <c r="BO35" s="35"/>
      <c r="BP35" s="35" t="e">
        <f>BP34+BP33+BP32+BP31+BP21+BP28+BP26+BP25+BP24-BP19</f>
        <v>#REF!</v>
      </c>
      <c r="BR35" s="44" t="s">
        <v>138</v>
      </c>
      <c r="BT35" s="35"/>
      <c r="BU35" s="35"/>
      <c r="BV35" s="35"/>
      <c r="BW35" s="35" t="e">
        <f>BW34+BW33+BW32+BW31+BW21+BW28+BW26+BW25+BW24-BW19</f>
        <v>#REF!</v>
      </c>
      <c r="BY35" s="44" t="s">
        <v>138</v>
      </c>
      <c r="BZ35" s="46"/>
      <c r="CA35" s="45"/>
      <c r="CB35" s="35"/>
      <c r="CC35" s="35"/>
      <c r="CD35" s="35"/>
      <c r="CE35" s="36" t="e">
        <f>CE34+CE33+CE32+CE31+CE21+CE28+CE26+CE25+CE24-CE19</f>
        <v>#REF!</v>
      </c>
      <c r="CF35" s="29"/>
    </row>
    <row r="36" spans="2:84" ht="17" thickBot="1">
      <c r="B36" s="24"/>
      <c r="C36" s="24" t="s">
        <v>209</v>
      </c>
      <c r="D36" s="82"/>
      <c r="E36" s="24"/>
      <c r="F36" s="24"/>
      <c r="G36" s="24"/>
      <c r="H36" s="24"/>
      <c r="I36" s="24"/>
      <c r="J36" s="24"/>
      <c r="K36" s="24"/>
      <c r="L36" s="100">
        <f>L34</f>
        <v>12.038148460800002</v>
      </c>
      <c r="M36" s="93"/>
      <c r="N36" s="100">
        <f>N34</f>
        <v>2455.4681039483635</v>
      </c>
      <c r="O36" s="100"/>
      <c r="Q36" s="11" t="s">
        <v>72</v>
      </c>
      <c r="R36" s="7">
        <f>SUM(R37:R39)/10^6</f>
        <v>5.1254062499999996E-2</v>
      </c>
      <c r="S36" s="7">
        <f>SUM(S37:S39)/10^6</f>
        <v>6.5605200000000002E-2</v>
      </c>
      <c r="AV36" t="s">
        <v>139</v>
      </c>
      <c r="AW36" s="29"/>
      <c r="AZ36" s="6" t="e">
        <f>AZ35*Summary!$B$33</f>
        <v>#REF!</v>
      </c>
      <c r="BB36" t="s">
        <v>139</v>
      </c>
      <c r="BH36" s="6" t="e">
        <f>BH35*Summary!$B$33</f>
        <v>#REF!</v>
      </c>
      <c r="BJ36" t="s">
        <v>139</v>
      </c>
      <c r="BP36" s="6" t="e">
        <f>BP35*Summary!$B$33</f>
        <v>#REF!</v>
      </c>
      <c r="BR36" t="s">
        <v>139</v>
      </c>
      <c r="BT36" s="4"/>
      <c r="BW36" s="6" t="e">
        <f>BW35*Summary!$B$33</f>
        <v>#REF!</v>
      </c>
      <c r="BY36" t="s">
        <v>139</v>
      </c>
      <c r="BZ36" s="29"/>
      <c r="CB36" s="4"/>
      <c r="CE36" s="6" t="e">
        <f>CE35*Summary!$B$33</f>
        <v>#REF!</v>
      </c>
      <c r="CF36" s="29"/>
    </row>
    <row r="37" spans="2:84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Q37" s="17" t="s">
        <v>71</v>
      </c>
      <c r="R37" s="6">
        <f>19596*1.15*1.25</f>
        <v>28169.249999999996</v>
      </c>
      <c r="S37" s="6">
        <f>R37*$Q$34</f>
        <v>36056.639999999999</v>
      </c>
      <c r="AV37" s="44" t="s">
        <v>140</v>
      </c>
      <c r="AW37" s="29"/>
      <c r="AZ37" s="6" t="e">
        <f>($C113/$AY4)*AZ35</f>
        <v>#REF!</v>
      </c>
      <c r="BB37" s="44" t="s">
        <v>140</v>
      </c>
      <c r="BE37" s="6"/>
      <c r="BF37" s="6"/>
      <c r="BG37" s="6"/>
      <c r="BH37" s="6" t="e">
        <f>($C113/$BE4)*BH35</f>
        <v>#REF!</v>
      </c>
      <c r="BJ37" s="44" t="s">
        <v>140</v>
      </c>
      <c r="BM37" s="6"/>
      <c r="BN37" s="6"/>
      <c r="BO37" s="6"/>
      <c r="BP37" s="6" t="e">
        <f>($C113/$BM4)*BP35</f>
        <v>#REF!</v>
      </c>
      <c r="BR37" s="44" t="s">
        <v>140</v>
      </c>
      <c r="BT37" s="4"/>
      <c r="BU37" s="6"/>
      <c r="BV37" s="6"/>
      <c r="BW37" s="6" t="e">
        <f>($C113/$BU4)*BW35</f>
        <v>#REF!</v>
      </c>
      <c r="BY37" s="44" t="s">
        <v>140</v>
      </c>
      <c r="BZ37" s="43"/>
      <c r="CB37" s="4"/>
      <c r="CC37" s="6"/>
      <c r="CD37" s="6"/>
      <c r="CE37" s="6" t="e">
        <f>($C113/$CA4)*CE35</f>
        <v>#REF!</v>
      </c>
    </row>
    <row r="38" spans="2:84">
      <c r="B38" s="24"/>
      <c r="C38" s="24"/>
      <c r="D38" s="24"/>
      <c r="E38" s="24"/>
      <c r="F38" s="24" t="s">
        <v>210</v>
      </c>
      <c r="G38" s="24"/>
      <c r="H38" s="24"/>
      <c r="I38" s="24"/>
      <c r="J38" s="24"/>
      <c r="K38" s="24"/>
      <c r="L38" s="85">
        <f>L23-L19+L36+L30</f>
        <v>12.039704646034457</v>
      </c>
      <c r="M38" s="24"/>
      <c r="N38" s="85">
        <f>N23-N19+N36+N30</f>
        <v>2455.7855251215183</v>
      </c>
      <c r="O38" s="85"/>
      <c r="Q38" s="17" t="s">
        <v>70</v>
      </c>
      <c r="R38" s="6">
        <f>8373*1.15*1.25</f>
        <v>12036.187499999998</v>
      </c>
      <c r="S38" s="6">
        <f>R38*$Q$34</f>
        <v>15406.319999999998</v>
      </c>
      <c r="AV38" t="s">
        <v>141</v>
      </c>
      <c r="AZ38" s="6" t="e">
        <f>($C113/$AY4)*AZ36</f>
        <v>#REF!</v>
      </c>
      <c r="BB38" t="s">
        <v>141</v>
      </c>
      <c r="BH38" s="6" t="e">
        <f>($C113/$BE4)*BH36</f>
        <v>#REF!</v>
      </c>
      <c r="BJ38" t="s">
        <v>141</v>
      </c>
      <c r="BO38" s="6"/>
      <c r="BP38" s="6" t="e">
        <f>($C113/$BM4)*BP36</f>
        <v>#REF!</v>
      </c>
      <c r="BR38" t="s">
        <v>141</v>
      </c>
      <c r="BS38" s="6"/>
      <c r="BW38" s="6" t="e">
        <f>($C113/$BU4)*BW36</f>
        <v>#REF!</v>
      </c>
      <c r="BY38" t="s">
        <v>141</v>
      </c>
      <c r="BZ38" s="6"/>
      <c r="CE38" s="6" t="e">
        <f>($C113/$CA4)*CE36</f>
        <v>#REF!</v>
      </c>
    </row>
    <row r="39" spans="2:84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Q39" s="17" t="s">
        <v>69</v>
      </c>
      <c r="R39" s="6">
        <f>7686*1.15*1.25</f>
        <v>11048.625</v>
      </c>
      <c r="S39" s="6">
        <f>R39*$Q$34</f>
        <v>14142.24</v>
      </c>
      <c r="AV39" s="16" t="s">
        <v>144</v>
      </c>
      <c r="AZ39" s="7" t="e">
        <f>(AZ35*10^6)/(AY4*1000)</f>
        <v>#REF!</v>
      </c>
      <c r="BB39" s="16" t="s">
        <v>144</v>
      </c>
      <c r="BH39" s="7" t="e">
        <f>(BH35*10^6)/(BE4*1000)</f>
        <v>#REF!</v>
      </c>
      <c r="BJ39" s="16" t="s">
        <v>144</v>
      </c>
      <c r="BP39" s="7" t="e">
        <f>(BP35*10^6)/(BM4*1000)</f>
        <v>#REF!</v>
      </c>
      <c r="BR39" s="16" t="s">
        <v>144</v>
      </c>
      <c r="BW39" s="7" t="e">
        <f>(BW35*10^6)/(BU4*1000)</f>
        <v>#REF!</v>
      </c>
      <c r="BY39" s="16" t="s">
        <v>144</v>
      </c>
      <c r="CE39" s="7" t="e">
        <f>(CE35*10^6)/(CA4*1000)</f>
        <v>#REF!</v>
      </c>
    </row>
    <row r="40" spans="2:84">
      <c r="B40" s="97" t="s">
        <v>211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Q40" s="11" t="s">
        <v>68</v>
      </c>
      <c r="R40" s="6">
        <f>151089*1.15*1.25</f>
        <v>217190.43749999997</v>
      </c>
      <c r="S40" s="6">
        <f>R40*$Q$34</f>
        <v>278003.75999999995</v>
      </c>
    </row>
    <row r="41" spans="2:84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6" t="s">
        <v>204</v>
      </c>
      <c r="M41" s="94"/>
      <c r="N41" s="96" t="s">
        <v>205</v>
      </c>
      <c r="O41" s="96"/>
      <c r="BC41" t="s">
        <v>107</v>
      </c>
      <c r="BD41" t="s">
        <v>109</v>
      </c>
      <c r="BE41">
        <v>0.37040000000000001</v>
      </c>
      <c r="BL41" t="s">
        <v>107</v>
      </c>
      <c r="BM41" t="s">
        <v>109</v>
      </c>
      <c r="BN41">
        <v>0.38700000000000001</v>
      </c>
      <c r="BT41" t="s">
        <v>107</v>
      </c>
      <c r="BU41" t="s">
        <v>109</v>
      </c>
      <c r="BV41">
        <v>0.37719999999999998</v>
      </c>
    </row>
    <row r="42" spans="2:84">
      <c r="B42" s="24" t="s">
        <v>31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BC42" t="s">
        <v>108</v>
      </c>
      <c r="BD42" t="s">
        <v>109</v>
      </c>
      <c r="BE42">
        <v>0.46600000000000003</v>
      </c>
      <c r="BL42" t="s">
        <v>108</v>
      </c>
      <c r="BM42" t="s">
        <v>109</v>
      </c>
      <c r="BN42">
        <v>0.4556</v>
      </c>
      <c r="BT42" t="s">
        <v>108</v>
      </c>
      <c r="BU42" t="s">
        <v>109</v>
      </c>
      <c r="BV42">
        <v>0.4289</v>
      </c>
    </row>
    <row r="43" spans="2:84">
      <c r="B43" s="24"/>
      <c r="C43" s="24"/>
      <c r="D43" s="24">
        <v>4.8</v>
      </c>
      <c r="E43" s="24"/>
      <c r="F43" s="24" t="s">
        <v>212</v>
      </c>
      <c r="G43" s="24"/>
      <c r="H43" s="24"/>
      <c r="I43" s="24"/>
      <c r="J43" s="24"/>
      <c r="K43" s="24"/>
      <c r="L43" s="24"/>
      <c r="M43" s="24"/>
      <c r="N43" s="24"/>
      <c r="O43" s="24"/>
      <c r="BZ43" t="s">
        <v>101</v>
      </c>
      <c r="CA43" t="s">
        <v>103</v>
      </c>
      <c r="CB43">
        <v>12.196999999999999</v>
      </c>
    </row>
    <row r="44" spans="2:84">
      <c r="B44" s="86" t="s">
        <v>213</v>
      </c>
      <c r="C44" s="24"/>
      <c r="D44" s="89">
        <f>S16</f>
        <v>2.7276363393971712</v>
      </c>
      <c r="E44" s="24"/>
      <c r="F44" s="24"/>
      <c r="G44" s="24"/>
      <c r="H44" s="24"/>
      <c r="I44" s="89">
        <f>S18</f>
        <v>25000</v>
      </c>
      <c r="J44" s="24" t="s">
        <v>216</v>
      </c>
      <c r="K44" s="24"/>
      <c r="L44" s="120">
        <f>(D44*D43*I44)/10^6</f>
        <v>0.32731636072766052</v>
      </c>
      <c r="M44" s="24"/>
      <c r="N44" s="85">
        <f>(L44*10^6)/D$5</f>
        <v>66.763995001754282</v>
      </c>
      <c r="O44" s="85"/>
      <c r="Q44" s="145" t="s">
        <v>361</v>
      </c>
      <c r="BZ44" t="s">
        <v>102</v>
      </c>
      <c r="CA44" t="s">
        <v>103</v>
      </c>
      <c r="CB44">
        <v>3.4159999999999999</v>
      </c>
    </row>
    <row r="45" spans="2:84">
      <c r="B45" s="24" t="s">
        <v>214</v>
      </c>
      <c r="C45" s="24"/>
      <c r="D45" s="24"/>
      <c r="E45" s="24"/>
      <c r="F45" s="24"/>
      <c r="G45" s="24"/>
      <c r="H45" s="24"/>
      <c r="I45" s="84">
        <v>0.25</v>
      </c>
      <c r="J45" s="24" t="s">
        <v>217</v>
      </c>
      <c r="K45" s="24"/>
      <c r="L45" s="85">
        <f>I45*L44</f>
        <v>8.1829090181915129E-2</v>
      </c>
      <c r="M45" s="24"/>
      <c r="N45" s="85">
        <f>(L45*10^6)/D$5</f>
        <v>16.69099875043857</v>
      </c>
      <c r="O45" s="85"/>
      <c r="Q45" s="11" t="s">
        <v>168</v>
      </c>
      <c r="S45">
        <v>0.3</v>
      </c>
      <c r="AX45">
        <v>8.81</v>
      </c>
      <c r="AY45" t="s">
        <v>118</v>
      </c>
      <c r="AZ45" t="s">
        <v>132</v>
      </c>
      <c r="BZ45" t="s">
        <v>104</v>
      </c>
      <c r="CA45" t="s">
        <v>105</v>
      </c>
      <c r="CB45">
        <v>15.614000000000001</v>
      </c>
    </row>
    <row r="46" spans="2:84">
      <c r="B46" s="24" t="s">
        <v>215</v>
      </c>
      <c r="C46" s="24"/>
      <c r="D46" s="24"/>
      <c r="E46" s="24"/>
      <c r="F46" s="24"/>
      <c r="G46" s="24"/>
      <c r="H46" s="24"/>
      <c r="I46" s="84">
        <v>0.45</v>
      </c>
      <c r="J46" s="24" t="s">
        <v>218</v>
      </c>
      <c r="K46" s="24"/>
      <c r="L46" s="85">
        <f>I46*(L44+L45)</f>
        <v>0.18411545290930906</v>
      </c>
      <c r="M46" s="24"/>
      <c r="N46" s="85">
        <f>(L46*10^6)/D$5</f>
        <v>37.554747188486786</v>
      </c>
      <c r="O46" s="85"/>
      <c r="Q46" s="11" t="s">
        <v>169</v>
      </c>
      <c r="S46">
        <v>0.8</v>
      </c>
      <c r="AX46">
        <v>1.9199999999999998E-2</v>
      </c>
      <c r="AY46" t="s">
        <v>117</v>
      </c>
      <c r="CA46" t="s">
        <v>106</v>
      </c>
    </row>
    <row r="47" spans="2:84">
      <c r="B47" s="24" t="s">
        <v>15</v>
      </c>
      <c r="C47" s="24"/>
      <c r="D47" s="24"/>
      <c r="E47" s="24"/>
      <c r="F47" s="24"/>
      <c r="G47" s="24"/>
      <c r="H47" s="24"/>
      <c r="I47" s="84">
        <v>0.03</v>
      </c>
      <c r="J47" s="24" t="s">
        <v>219</v>
      </c>
      <c r="K47" s="24"/>
      <c r="L47" s="85">
        <f>I47*M4</f>
        <v>0.72477292032000007</v>
      </c>
      <c r="M47" s="24"/>
      <c r="N47" s="85">
        <f>(L47*10^6)/D$5</f>
        <v>147.83475999206948</v>
      </c>
      <c r="O47" s="85"/>
      <c r="Q47" s="11" t="s">
        <v>170</v>
      </c>
      <c r="S47">
        <v>0.3</v>
      </c>
      <c r="BZ47" t="s">
        <v>107</v>
      </c>
      <c r="CA47" t="s">
        <v>109</v>
      </c>
      <c r="CB47">
        <v>8.8800000000000004E-2</v>
      </c>
    </row>
    <row r="48" spans="2:84">
      <c r="B48" s="24" t="s">
        <v>220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85"/>
      <c r="O48" s="85"/>
      <c r="Q48" s="11" t="s">
        <v>171</v>
      </c>
      <c r="S48">
        <v>0.2</v>
      </c>
      <c r="BZ48" t="s">
        <v>108</v>
      </c>
      <c r="CA48" t="s">
        <v>109</v>
      </c>
      <c r="CB48">
        <v>0.8004</v>
      </c>
    </row>
    <row r="49" spans="2:80">
      <c r="B49" s="86" t="s">
        <v>221</v>
      </c>
      <c r="C49" s="24"/>
      <c r="D49" s="24"/>
      <c r="E49" s="24"/>
      <c r="F49" s="24"/>
      <c r="G49" s="24"/>
      <c r="H49" s="24"/>
      <c r="I49" s="84">
        <v>0.65</v>
      </c>
      <c r="J49" s="24" t="s">
        <v>224</v>
      </c>
      <c r="K49" s="24"/>
      <c r="L49" s="85">
        <f>0.65*(L44+L47)</f>
        <v>0.68385803268097933</v>
      </c>
      <c r="M49" s="24"/>
      <c r="N49" s="85">
        <f>(L49*10^6)/D$5</f>
        <v>139.48919074598544</v>
      </c>
      <c r="O49" s="85"/>
      <c r="Q49" s="11" t="s">
        <v>172</v>
      </c>
      <c r="S49">
        <v>0.3</v>
      </c>
      <c r="BZ49" t="s">
        <v>110</v>
      </c>
      <c r="CB49" s="3">
        <v>0.9</v>
      </c>
    </row>
    <row r="50" spans="2:80">
      <c r="B50" s="86" t="s">
        <v>222</v>
      </c>
      <c r="C50" s="24"/>
      <c r="D50" s="24"/>
      <c r="E50" s="24"/>
      <c r="F50" s="24"/>
      <c r="G50" s="24"/>
      <c r="H50" s="24"/>
      <c r="I50" s="84">
        <v>0.02</v>
      </c>
      <c r="J50" s="24" t="s">
        <v>311</v>
      </c>
      <c r="K50" s="24"/>
      <c r="L50" s="85">
        <f>I50*M4</f>
        <v>0.48318194688000005</v>
      </c>
      <c r="M50" s="24"/>
      <c r="N50" s="85">
        <f>(L50*10^6)/D$5</f>
        <v>98.556506661379657</v>
      </c>
      <c r="O50" s="85"/>
      <c r="Q50" s="11" t="s">
        <v>173</v>
      </c>
      <c r="S50">
        <v>0.2</v>
      </c>
      <c r="BZ50" t="s">
        <v>111</v>
      </c>
      <c r="CB50" s="3">
        <v>0.89019999999999999</v>
      </c>
    </row>
    <row r="51" spans="2:80">
      <c r="B51" s="24" t="s">
        <v>223</v>
      </c>
      <c r="C51" s="24"/>
      <c r="D51" s="24"/>
      <c r="E51" s="24"/>
      <c r="F51" s="24"/>
      <c r="G51" s="24"/>
      <c r="H51" s="24"/>
      <c r="I51" s="84">
        <v>0</v>
      </c>
      <c r="J51" s="24" t="s">
        <v>225</v>
      </c>
      <c r="K51" s="24"/>
      <c r="L51" s="85">
        <f>I51*M8</f>
        <v>0</v>
      </c>
      <c r="M51" s="24"/>
      <c r="N51" s="85">
        <f>(L51*10^6)/D$5</f>
        <v>0</v>
      </c>
      <c r="O51" s="115"/>
      <c r="Q51" s="11" t="s">
        <v>174</v>
      </c>
      <c r="S51">
        <v>0.1</v>
      </c>
    </row>
    <row r="52" spans="2:80">
      <c r="B52" s="24"/>
      <c r="C52" s="24"/>
      <c r="D52" s="24"/>
      <c r="E52" s="24"/>
      <c r="F52" s="24"/>
      <c r="G52" s="24"/>
      <c r="H52" s="24"/>
      <c r="I52" s="84">
        <f>Summary!B32</f>
        <v>0.08</v>
      </c>
      <c r="J52" s="24" t="s">
        <v>226</v>
      </c>
      <c r="K52" s="24"/>
      <c r="L52" s="101">
        <f>I52*$M$9</f>
        <v>0.30112181780766778</v>
      </c>
      <c r="M52" s="99"/>
      <c r="N52" s="101">
        <f>(L52*10^6)/D$5</f>
        <v>61.420991894009397</v>
      </c>
      <c r="O52" s="85"/>
      <c r="Q52" t="s">
        <v>175</v>
      </c>
      <c r="S52">
        <f>1+SUM(S45:S51)</f>
        <v>3.2</v>
      </c>
      <c r="T52">
        <f>SUM(S45:S51)</f>
        <v>2.2000000000000002</v>
      </c>
    </row>
    <row r="53" spans="2:80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93"/>
      <c r="M53" s="93"/>
      <c r="N53" s="93"/>
      <c r="O53" s="93"/>
      <c r="Q53" s="11" t="s">
        <v>178</v>
      </c>
      <c r="S53">
        <v>0.3</v>
      </c>
    </row>
    <row r="54" spans="2:80">
      <c r="B54" s="24"/>
      <c r="C54" s="24"/>
      <c r="D54" s="24"/>
      <c r="E54" s="24"/>
      <c r="F54" s="24"/>
      <c r="G54" s="24"/>
      <c r="H54" s="24"/>
      <c r="I54" s="24" t="s">
        <v>227</v>
      </c>
      <c r="J54" s="24"/>
      <c r="K54" s="24"/>
      <c r="L54" s="85">
        <f>SUM(L44:L52)</f>
        <v>2.7861956215075327</v>
      </c>
      <c r="M54" s="24"/>
      <c r="N54" s="85">
        <f>SUM(N44:N52)</f>
        <v>568.31119023412361</v>
      </c>
      <c r="O54" s="85"/>
      <c r="Q54" s="11" t="s">
        <v>177</v>
      </c>
      <c r="S54">
        <v>0.3</v>
      </c>
    </row>
    <row r="55" spans="2:80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Q55" s="11" t="s">
        <v>176</v>
      </c>
      <c r="S55">
        <v>0.1</v>
      </c>
    </row>
    <row r="56" spans="2:80">
      <c r="B56" s="97" t="s">
        <v>230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Q56" s="11" t="s">
        <v>167</v>
      </c>
      <c r="S56">
        <f>(1+S53)*(1+S54+S55)</f>
        <v>1.8200000000000003</v>
      </c>
    </row>
    <row r="57" spans="2:80">
      <c r="B57" s="93"/>
      <c r="C57" s="93"/>
      <c r="D57" s="96" t="s">
        <v>228</v>
      </c>
      <c r="E57" s="96"/>
      <c r="F57" s="96" t="s">
        <v>9</v>
      </c>
      <c r="G57" s="96"/>
      <c r="H57" s="96" t="s">
        <v>231</v>
      </c>
      <c r="I57" s="94"/>
      <c r="J57" s="96" t="s">
        <v>28</v>
      </c>
      <c r="K57" s="94"/>
      <c r="L57" s="96" t="s">
        <v>204</v>
      </c>
      <c r="M57" s="94"/>
      <c r="N57" s="96" t="s">
        <v>232</v>
      </c>
      <c r="O57" s="116"/>
    </row>
    <row r="58" spans="2:80">
      <c r="B58" s="24" t="s">
        <v>167</v>
      </c>
      <c r="C58" s="24"/>
      <c r="D58" s="85">
        <f>M8</f>
        <v>43.969557166080001</v>
      </c>
      <c r="E58" s="91"/>
      <c r="F58" s="84">
        <f>Summary!$B$32</f>
        <v>0.08</v>
      </c>
      <c r="G58" s="84"/>
      <c r="H58" s="24">
        <f>Summary!$B$33</f>
        <v>20</v>
      </c>
      <c r="I58" s="24"/>
      <c r="J58" s="91">
        <f>Summary!$B$34</f>
        <v>0.10185220882315059</v>
      </c>
      <c r="K58" s="24"/>
      <c r="L58" s="115">
        <f>J58*D58</f>
        <v>4.4783965183410377</v>
      </c>
      <c r="M58" s="92"/>
      <c r="N58" s="115">
        <f>(L58*10^6)/D5</f>
        <v>913.47600865931156</v>
      </c>
      <c r="O58" s="115"/>
    </row>
    <row r="59" spans="2:80">
      <c r="B59" t="s">
        <v>261</v>
      </c>
      <c r="D59" s="85">
        <f>U29/(1+F59)^H59</f>
        <v>3.3378227447006963</v>
      </c>
      <c r="E59" s="24"/>
      <c r="F59" s="84">
        <f>Summary!B32</f>
        <v>0.08</v>
      </c>
      <c r="G59" s="24"/>
      <c r="H59" s="24">
        <v>10</v>
      </c>
      <c r="I59" s="24"/>
      <c r="J59" s="91">
        <f>Summary!B34</f>
        <v>0.10185220882315059</v>
      </c>
      <c r="K59" s="24"/>
      <c r="L59" s="101">
        <f>D59*J59</f>
        <v>0.33996461920791698</v>
      </c>
      <c r="M59" s="99"/>
      <c r="N59" s="101">
        <f>(L59*10^6)/D5</f>
        <v>69.343909626490515</v>
      </c>
      <c r="O59" s="24"/>
    </row>
    <row r="60" spans="2:80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93"/>
      <c r="M60" s="93"/>
      <c r="N60" s="93"/>
      <c r="O60" s="93"/>
      <c r="Q60" t="s">
        <v>179</v>
      </c>
      <c r="R60">
        <f>(1+S46)+(S45+S48+S47+S49+S50+S51)</f>
        <v>3.2</v>
      </c>
    </row>
    <row r="61" spans="2:80">
      <c r="B61" s="24"/>
      <c r="C61" s="24"/>
      <c r="D61" s="24"/>
      <c r="E61" s="24"/>
      <c r="F61" s="24"/>
      <c r="G61" s="24"/>
      <c r="H61" s="24" t="s">
        <v>246</v>
      </c>
      <c r="I61" s="24"/>
      <c r="J61" s="24"/>
      <c r="K61" s="24"/>
      <c r="L61" s="85">
        <f>L58+L59</f>
        <v>4.8183611375489548</v>
      </c>
      <c r="M61" s="24"/>
      <c r="N61" s="85">
        <f>N58+N59</f>
        <v>982.81991828580203</v>
      </c>
      <c r="O61" s="85"/>
      <c r="Q61" t="s">
        <v>180</v>
      </c>
    </row>
    <row r="62" spans="2:80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2:80">
      <c r="B63" s="97" t="s">
        <v>247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2:80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6" t="s">
        <v>204</v>
      </c>
      <c r="M64" s="94"/>
      <c r="N64" s="96" t="s">
        <v>232</v>
      </c>
      <c r="O64" s="96"/>
    </row>
    <row r="65" spans="2:36">
      <c r="B65" s="24"/>
      <c r="C65" s="24"/>
      <c r="D65" s="24"/>
      <c r="E65" s="24"/>
      <c r="F65" s="24"/>
      <c r="G65" s="24"/>
      <c r="H65" s="24" t="s">
        <v>248</v>
      </c>
      <c r="I65" s="24"/>
      <c r="J65" s="24"/>
      <c r="K65" s="24"/>
      <c r="L65" s="85">
        <f>L38</f>
        <v>12.039704646034457</v>
      </c>
      <c r="M65" s="24"/>
      <c r="N65" s="85">
        <f>N38</f>
        <v>2455.7855251215183</v>
      </c>
      <c r="O65" s="115"/>
    </row>
    <row r="66" spans="2:36">
      <c r="B66" s="24"/>
      <c r="C66" s="24"/>
      <c r="D66" s="24"/>
      <c r="E66" s="24"/>
      <c r="F66" s="24"/>
      <c r="G66" s="24"/>
      <c r="H66" s="24" t="s">
        <v>249</v>
      </c>
      <c r="I66" s="24"/>
      <c r="J66" s="24"/>
      <c r="K66" s="24"/>
      <c r="L66" s="101">
        <f>L54</f>
        <v>2.7861956215075327</v>
      </c>
      <c r="M66" s="99"/>
      <c r="N66" s="101">
        <f>N54</f>
        <v>568.31119023412361</v>
      </c>
      <c r="O66" s="85"/>
    </row>
    <row r="67" spans="2:36">
      <c r="B67" s="24"/>
      <c r="C67" s="24"/>
      <c r="D67" s="24"/>
      <c r="E67" s="24"/>
      <c r="F67" s="24"/>
      <c r="G67" s="24"/>
      <c r="H67" s="24" t="s">
        <v>250</v>
      </c>
      <c r="I67" s="24"/>
      <c r="J67" s="24"/>
      <c r="K67" s="24"/>
      <c r="L67" s="100">
        <f>L65+L66</f>
        <v>14.825900267541989</v>
      </c>
      <c r="M67" s="93"/>
      <c r="N67" s="100">
        <f>N65+N66</f>
        <v>3024.0967153556421</v>
      </c>
      <c r="O67" s="100"/>
    </row>
    <row r="68" spans="2:36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36">
      <c r="B69" s="24"/>
      <c r="C69" s="24"/>
      <c r="D69" s="24"/>
      <c r="E69" s="24"/>
      <c r="F69" s="24"/>
      <c r="G69" s="24"/>
      <c r="H69" s="24" t="s">
        <v>251</v>
      </c>
      <c r="I69" s="24"/>
      <c r="J69" s="24"/>
      <c r="K69" s="24"/>
      <c r="L69" s="85">
        <f>L67+L61</f>
        <v>19.644261405090944</v>
      </c>
      <c r="M69" s="24"/>
      <c r="N69" s="85">
        <f>N67+N61</f>
        <v>4006.9166336414442</v>
      </c>
      <c r="O69" s="85"/>
    </row>
    <row r="70" spans="2:36">
      <c r="B70" s="24"/>
      <c r="C70" s="24"/>
      <c r="D70" s="24"/>
      <c r="E70" s="24"/>
      <c r="F70" s="24"/>
      <c r="G70" s="24"/>
      <c r="H70" s="24" t="s">
        <v>262</v>
      </c>
      <c r="I70" s="24"/>
      <c r="J70" s="24"/>
      <c r="K70" s="24"/>
      <c r="L70" s="85">
        <f>L69</f>
        <v>19.644261405090944</v>
      </c>
      <c r="M70" s="24"/>
      <c r="N70" s="85">
        <f>N69</f>
        <v>4006.9166336414442</v>
      </c>
      <c r="O70" s="85"/>
    </row>
    <row r="73" spans="2:36">
      <c r="M73" s="1"/>
    </row>
    <row r="74" spans="2:36">
      <c r="M74" s="1"/>
    </row>
    <row r="80" spans="2:36">
      <c r="AH80" s="7"/>
      <c r="AJ80" s="7"/>
    </row>
    <row r="81" spans="34:36">
      <c r="AH81" s="7"/>
      <c r="AJ81" s="7"/>
    </row>
    <row r="82" spans="34:36">
      <c r="AH82" s="7"/>
      <c r="AJ82" s="7"/>
    </row>
    <row r="104" spans="2:12">
      <c r="B104" s="11"/>
      <c r="D104" s="1"/>
      <c r="E104" s="1"/>
      <c r="F104" s="1"/>
      <c r="J104" s="1"/>
      <c r="L104" s="1"/>
    </row>
    <row r="105" spans="2:12">
      <c r="B105" s="2"/>
    </row>
    <row r="106" spans="2:12">
      <c r="B106" s="11"/>
    </row>
    <row r="107" spans="2:12">
      <c r="B107" s="11"/>
    </row>
    <row r="108" spans="2:12">
      <c r="B108" s="11"/>
      <c r="D108" s="5"/>
    </row>
    <row r="109" spans="2:12">
      <c r="B109" s="11"/>
    </row>
    <row r="110" spans="2:12">
      <c r="B110" s="19"/>
      <c r="D110" s="7"/>
      <c r="E110" s="6"/>
      <c r="F110" s="5"/>
    </row>
    <row r="111" spans="2:12">
      <c r="B111" s="19"/>
      <c r="D111" s="28"/>
      <c r="E111" s="5"/>
      <c r="F111" s="5"/>
    </row>
    <row r="113" spans="2:10">
      <c r="B113" s="21"/>
      <c r="C113" s="6"/>
      <c r="D113" s="6"/>
      <c r="E113" s="6"/>
      <c r="H113" s="6"/>
      <c r="J113" s="6"/>
    </row>
    <row r="114" spans="2:10">
      <c r="B114" s="11"/>
      <c r="C114" s="6"/>
      <c r="D114" s="6"/>
      <c r="E114" s="6"/>
      <c r="F114" s="6"/>
      <c r="H114" s="6"/>
      <c r="J114" s="6"/>
    </row>
    <row r="115" spans="2:10">
      <c r="B115" s="22"/>
      <c r="C115" s="6"/>
      <c r="D115" s="6"/>
      <c r="E115" s="6"/>
      <c r="F115" s="6"/>
      <c r="H115" s="6"/>
    </row>
    <row r="116" spans="2:10">
      <c r="C116" s="6"/>
      <c r="E116" s="6"/>
      <c r="F116" s="6"/>
      <c r="H116" s="6"/>
      <c r="J116" s="6"/>
    </row>
    <row r="117" spans="2:10">
      <c r="B117" s="17"/>
      <c r="C117" s="6"/>
      <c r="D117" s="4"/>
      <c r="E117" s="6"/>
      <c r="F117" s="6"/>
      <c r="H117" s="6"/>
    </row>
    <row r="118" spans="2:10">
      <c r="B118" s="11"/>
      <c r="C118" s="6"/>
      <c r="D118" s="6"/>
      <c r="E118" s="6"/>
      <c r="F118" s="6"/>
      <c r="H118" s="6"/>
      <c r="J118" s="4"/>
    </row>
    <row r="119" spans="2:10">
      <c r="B119" s="17"/>
      <c r="C119" s="6"/>
      <c r="D119" s="6"/>
      <c r="E119" s="6"/>
      <c r="F119" s="6"/>
      <c r="H119" s="6"/>
    </row>
    <row r="120" spans="2:10">
      <c r="B120" s="11"/>
      <c r="C120" s="6"/>
      <c r="D120" s="6"/>
      <c r="E120" s="6"/>
      <c r="F120" s="6"/>
      <c r="H120" s="6"/>
    </row>
    <row r="121" spans="2:10">
      <c r="B121" s="2"/>
    </row>
    <row r="122" spans="2:10">
      <c r="B122" s="11"/>
      <c r="C122" s="6"/>
      <c r="D122" s="6"/>
      <c r="E122" s="6"/>
      <c r="H122" s="6"/>
      <c r="J122" s="6"/>
    </row>
    <row r="123" spans="2:10">
      <c r="B123" s="11"/>
      <c r="C123" s="6"/>
      <c r="D123" s="6"/>
      <c r="E123" s="6"/>
      <c r="H123" s="6"/>
      <c r="J123" s="6"/>
    </row>
    <row r="124" spans="2:10">
      <c r="B124" s="11"/>
      <c r="E124" s="6"/>
      <c r="H124" s="6"/>
      <c r="J124" s="6"/>
    </row>
    <row r="125" spans="2:10">
      <c r="B125" s="19"/>
      <c r="C125" s="6"/>
      <c r="D125" s="6"/>
      <c r="E125" s="6"/>
      <c r="H125" s="6"/>
      <c r="J125" s="6"/>
    </row>
    <row r="126" spans="2:10">
      <c r="B126" s="19"/>
      <c r="C126" s="6"/>
      <c r="D126" s="6"/>
      <c r="E126" s="6"/>
      <c r="H126" s="6"/>
      <c r="J126" s="6"/>
    </row>
    <row r="127" spans="2:10">
      <c r="B127" s="11"/>
      <c r="D127" s="6"/>
      <c r="E127" s="6"/>
      <c r="H127" s="6"/>
      <c r="J127" s="6"/>
    </row>
    <row r="128" spans="2:10">
      <c r="B128" s="19"/>
      <c r="C128" s="6"/>
      <c r="D128" s="6"/>
      <c r="E128" s="6"/>
      <c r="H128" s="6"/>
      <c r="J128" s="6"/>
    </row>
    <row r="129" spans="2:10">
      <c r="B129" s="19"/>
      <c r="C129" s="6"/>
      <c r="D129" s="6"/>
      <c r="E129" s="6"/>
      <c r="H129" s="6"/>
      <c r="J129" s="6"/>
    </row>
    <row r="130" spans="2:10">
      <c r="E130" s="6"/>
      <c r="H130" s="6"/>
      <c r="J130" s="6"/>
    </row>
    <row r="131" spans="2:10">
      <c r="E131" s="6"/>
      <c r="H131" s="6"/>
      <c r="J131" s="6"/>
    </row>
    <row r="132" spans="2:10">
      <c r="E132" s="6"/>
      <c r="H132" s="6"/>
      <c r="J132" s="6"/>
    </row>
    <row r="133" spans="2:10">
      <c r="E133" s="6"/>
      <c r="H133" s="6"/>
      <c r="J133" s="6"/>
    </row>
    <row r="134" spans="2:10">
      <c r="E134" s="6"/>
      <c r="H134" s="6"/>
      <c r="J134" s="6"/>
    </row>
    <row r="171" spans="9:10">
      <c r="I171" s="7"/>
      <c r="J171" s="7"/>
    </row>
    <row r="172" spans="9:10">
      <c r="I172" s="7"/>
      <c r="J172" s="4"/>
    </row>
    <row r="173" spans="9:10">
      <c r="I173" s="7"/>
      <c r="J173" s="4"/>
    </row>
    <row r="174" spans="9:10">
      <c r="I174" s="7"/>
      <c r="J174" s="4"/>
    </row>
  </sheetData>
  <scenarios current="0" show="0">
    <scenario name="2 kg" locked="1" count="1" user="Ryan Alimento" comment="Created by Ryan Alimento on 6/24/2025">
      <inputCells r="N70" val="2000"/>
    </scenario>
  </scenarios>
  <mergeCells count="5">
    <mergeCell ref="BJ2:BP2"/>
    <mergeCell ref="BB2:BH2"/>
    <mergeCell ref="BR2:BW2"/>
    <mergeCell ref="BY2:CE2"/>
    <mergeCell ref="AV2:AZ2"/>
  </mergeCells>
  <hyperlinks>
    <hyperlink ref="G9" r:id="rId1" xr:uid="{2D49B4E1-9A62-B045-9654-0DA5EF09B8E2}"/>
    <hyperlink ref="Q23" r:id="rId2" display="https://www.bls.gov/data/inflation_calculator.htm" xr:uid="{89ED285E-13DC-634B-8596-3ACE980EA675}"/>
    <hyperlink ref="R26" r:id="rId3" xr:uid="{FE64276D-7523-F34D-A0E4-405307563E16}"/>
    <hyperlink ref="B2" r:id="rId4" xr:uid="{52C6FFAA-49BF-7A43-A8E2-F07017308E15}"/>
  </hyperlinks>
  <pageMargins left="0.7" right="0.7" top="0.75" bottom="0.75" header="0.3" footer="0.3"/>
  <pageSetup orientation="portrait" horizontalDpi="0" verticalDpi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EB3E-8E11-6348-B6DB-624E485C6C4C}">
  <dimension ref="A2:BD92"/>
  <sheetViews>
    <sheetView zoomScale="75" workbookViewId="0">
      <selection activeCell="B2" sqref="B2"/>
    </sheetView>
  </sheetViews>
  <sheetFormatPr baseColWidth="10" defaultRowHeight="16"/>
  <cols>
    <col min="3" max="3" width="17.33203125" customWidth="1"/>
    <col min="4" max="4" width="7.5" customWidth="1"/>
    <col min="5" max="5" width="6" customWidth="1"/>
    <col min="6" max="6" width="10.1640625" customWidth="1"/>
    <col min="7" max="7" width="6.33203125" customWidth="1"/>
    <col min="8" max="8" width="10.1640625" customWidth="1"/>
    <col min="9" max="9" width="7" customWidth="1"/>
    <col min="10" max="10" width="11.6640625" customWidth="1"/>
    <col min="11" max="11" width="7.33203125" customWidth="1"/>
    <col min="12" max="12" width="9" customWidth="1"/>
    <col min="14" max="14" width="10.33203125" customWidth="1"/>
    <col min="17" max="17" width="13" customWidth="1"/>
    <col min="26" max="26" width="22.33203125" bestFit="1" customWidth="1"/>
    <col min="28" max="36" width="14.6640625" customWidth="1"/>
    <col min="38" max="38" width="13.5" bestFit="1" customWidth="1"/>
  </cols>
  <sheetData>
    <row r="2" spans="1:42">
      <c r="B2" s="154" t="s">
        <v>382</v>
      </c>
      <c r="C2" s="97"/>
      <c r="D2" s="97"/>
      <c r="E2" s="97"/>
      <c r="F2" s="97"/>
      <c r="G2" s="97"/>
      <c r="H2" s="97"/>
      <c r="I2" s="111"/>
      <c r="J2" s="97" t="s">
        <v>192</v>
      </c>
      <c r="K2" s="97"/>
      <c r="L2" s="97"/>
      <c r="M2" s="97"/>
      <c r="N2" s="97"/>
      <c r="O2" s="97"/>
      <c r="Q2" t="s">
        <v>323</v>
      </c>
      <c r="Z2" s="11"/>
      <c r="AB2" s="1"/>
      <c r="AC2" s="1"/>
      <c r="AD2" s="1"/>
      <c r="AE2" s="1"/>
      <c r="AF2" s="1"/>
      <c r="AG2" s="1"/>
      <c r="AH2" s="1"/>
      <c r="AJ2" s="1"/>
      <c r="AK2" s="1"/>
      <c r="AL2" s="1"/>
      <c r="AP2" s="1"/>
    </row>
    <row r="3" spans="1:42">
      <c r="B3" s="93"/>
      <c r="C3" s="93"/>
      <c r="D3" s="93"/>
      <c r="E3" s="93"/>
      <c r="F3" s="93"/>
      <c r="G3" s="93"/>
      <c r="H3" s="93"/>
      <c r="I3" s="112"/>
      <c r="J3" s="108"/>
      <c r="K3" s="108"/>
      <c r="L3" s="108"/>
      <c r="M3" s="103" t="s">
        <v>228</v>
      </c>
      <c r="N3" s="93"/>
      <c r="O3" s="93"/>
      <c r="S3" t="s">
        <v>250</v>
      </c>
      <c r="U3">
        <v>5.54</v>
      </c>
      <c r="Z3" s="2"/>
    </row>
    <row r="4" spans="1:42">
      <c r="B4" s="24"/>
      <c r="C4" s="24"/>
      <c r="D4" s="24"/>
      <c r="E4" s="24"/>
      <c r="F4" s="24"/>
      <c r="G4" s="24"/>
      <c r="H4" s="24"/>
      <c r="I4" s="113"/>
      <c r="J4" s="109" t="s">
        <v>185</v>
      </c>
      <c r="K4" s="109"/>
      <c r="L4" s="109"/>
      <c r="M4" s="102">
        <f>$S$16</f>
        <v>40.434000000000005</v>
      </c>
      <c r="N4" s="24"/>
      <c r="O4" s="24"/>
      <c r="Q4" t="s">
        <v>188</v>
      </c>
      <c r="V4" s="7">
        <v>2.2159893858643649</v>
      </c>
      <c r="Z4" s="11"/>
    </row>
    <row r="5" spans="1:42">
      <c r="B5" s="24" t="s">
        <v>122</v>
      </c>
      <c r="C5" s="24"/>
      <c r="D5" s="24">
        <f>((3159.42*98%)/1000)*D6</f>
        <v>24769.852800000001</v>
      </c>
      <c r="E5" s="24" t="s">
        <v>191</v>
      </c>
      <c r="F5" s="24"/>
      <c r="G5" s="24"/>
      <c r="H5" s="24"/>
      <c r="I5" s="113"/>
      <c r="J5" s="109" t="s">
        <v>186</v>
      </c>
      <c r="K5" s="109"/>
      <c r="L5" s="109"/>
      <c r="M5" s="83">
        <f>0.4*M4</f>
        <v>16.173600000000004</v>
      </c>
      <c r="N5" s="24"/>
      <c r="O5" s="24"/>
      <c r="Q5" t="s">
        <v>236</v>
      </c>
      <c r="T5">
        <v>2</v>
      </c>
      <c r="U5" t="s">
        <v>242</v>
      </c>
      <c r="V5" s="7">
        <f>T5*7*(L22/D7)</f>
        <v>0.74162694857564859</v>
      </c>
      <c r="Z5" s="11"/>
    </row>
    <row r="6" spans="1:42">
      <c r="B6" s="24" t="s">
        <v>256</v>
      </c>
      <c r="C6" s="24"/>
      <c r="D6" s="24">
        <v>8000</v>
      </c>
      <c r="E6" s="24" t="s">
        <v>189</v>
      </c>
      <c r="F6" s="24"/>
      <c r="G6" s="24"/>
      <c r="H6" s="24"/>
      <c r="I6" s="113"/>
      <c r="J6" s="109" t="s">
        <v>187</v>
      </c>
      <c r="K6" s="109"/>
      <c r="L6" s="109"/>
      <c r="M6" s="83">
        <f>N6*(M4+M5)</f>
        <v>11.321520000000001</v>
      </c>
      <c r="N6" s="84">
        <v>0.2</v>
      </c>
      <c r="O6" s="24" t="s">
        <v>258</v>
      </c>
      <c r="Q6" t="s">
        <v>237</v>
      </c>
      <c r="T6">
        <v>2</v>
      </c>
      <c r="U6" t="s">
        <v>243</v>
      </c>
      <c r="V6" s="7">
        <f>T6*7*(U$3/D$7)</f>
        <v>0.23268</v>
      </c>
    </row>
    <row r="7" spans="1:42">
      <c r="B7" s="24"/>
      <c r="C7" s="24"/>
      <c r="D7" s="85">
        <f>(D6/8760)*365</f>
        <v>333.33333333333331</v>
      </c>
      <c r="E7" s="24" t="s">
        <v>190</v>
      </c>
      <c r="F7" s="24"/>
      <c r="G7" s="24"/>
      <c r="H7" s="24"/>
      <c r="I7" s="113"/>
      <c r="J7" s="109" t="s">
        <v>119</v>
      </c>
      <c r="K7" s="109"/>
      <c r="L7" s="109"/>
      <c r="M7" s="104">
        <f>N7*(M4+M5)</f>
        <v>5.6607600000000007</v>
      </c>
      <c r="N7" s="84">
        <v>0.1</v>
      </c>
      <c r="O7" s="24" t="s">
        <v>258</v>
      </c>
      <c r="Q7" t="s">
        <v>238</v>
      </c>
      <c r="T7">
        <v>1</v>
      </c>
      <c r="U7" t="s">
        <v>244</v>
      </c>
      <c r="V7" s="7">
        <f>T7*7*(U$3/D$7)</f>
        <v>0.11634</v>
      </c>
      <c r="Z7" s="11"/>
      <c r="AB7" s="5"/>
      <c r="AC7" s="5"/>
      <c r="AD7" s="5"/>
      <c r="AE7" s="5"/>
      <c r="AF7" s="5"/>
      <c r="AG7" s="5"/>
      <c r="AH7" s="5"/>
      <c r="AI7" s="5"/>
      <c r="AJ7" s="5"/>
    </row>
    <row r="8" spans="1:42">
      <c r="B8" s="24"/>
      <c r="C8" s="24"/>
      <c r="D8" s="24"/>
      <c r="E8" s="24"/>
      <c r="F8" s="24"/>
      <c r="G8" s="24"/>
      <c r="H8" s="24"/>
      <c r="I8" s="113"/>
      <c r="J8" s="109" t="s">
        <v>184</v>
      </c>
      <c r="K8" s="109"/>
      <c r="L8" s="109"/>
      <c r="M8" s="102">
        <f>SUM(M4:M7)</f>
        <v>73.589880000000008</v>
      </c>
      <c r="N8" s="24"/>
      <c r="O8" s="24"/>
      <c r="Q8" t="s">
        <v>239</v>
      </c>
      <c r="T8">
        <v>4</v>
      </c>
      <c r="U8" t="s">
        <v>244</v>
      </c>
      <c r="V8" s="7">
        <f>T8*7*(U$3/D$7)</f>
        <v>0.46536</v>
      </c>
      <c r="Z8" s="11"/>
    </row>
    <row r="9" spans="1:42">
      <c r="B9" s="24"/>
      <c r="C9" s="24"/>
      <c r="D9" s="24"/>
      <c r="E9" s="24"/>
      <c r="F9" s="24"/>
      <c r="G9" s="24"/>
      <c r="H9" s="24"/>
      <c r="I9" s="113"/>
      <c r="J9" s="109" t="s">
        <v>188</v>
      </c>
      <c r="K9" s="24"/>
      <c r="M9" s="83">
        <f>SUM($V$5:$V$10)</f>
        <v>2.5874429485756485</v>
      </c>
      <c r="N9" s="24"/>
      <c r="O9" s="24"/>
      <c r="Q9" t="s">
        <v>240</v>
      </c>
      <c r="T9">
        <v>4</v>
      </c>
      <c r="U9" t="s">
        <v>244</v>
      </c>
      <c r="V9" s="7">
        <f>T9*7*(U$3/D$7)</f>
        <v>0.46536</v>
      </c>
      <c r="Z9" s="19"/>
      <c r="AL9" s="6"/>
    </row>
    <row r="10" spans="1:42">
      <c r="B10" s="92"/>
      <c r="C10" s="92"/>
      <c r="D10" s="92"/>
      <c r="E10" s="92"/>
      <c r="F10" s="92"/>
      <c r="G10" s="92"/>
      <c r="H10" s="92"/>
      <c r="I10" s="114"/>
      <c r="J10" s="110"/>
      <c r="K10" s="92"/>
      <c r="L10" s="92"/>
      <c r="M10" s="92"/>
      <c r="N10" s="92"/>
      <c r="O10" s="92"/>
      <c r="Q10" t="s">
        <v>241</v>
      </c>
      <c r="T10" s="8">
        <v>0.01</v>
      </c>
      <c r="U10" t="s">
        <v>229</v>
      </c>
      <c r="V10" s="7">
        <f>T10*(M4+M5)</f>
        <v>0.56607600000000002</v>
      </c>
      <c r="Z10" s="19"/>
      <c r="AL10" s="5"/>
    </row>
    <row r="11" spans="1:42">
      <c r="B11" s="97" t="s">
        <v>193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Z11" s="19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5"/>
    </row>
    <row r="12" spans="1:42">
      <c r="A12" s="11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1"/>
      <c r="Q12" t="s">
        <v>355</v>
      </c>
      <c r="Z12" s="19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42">
      <c r="B13" s="87" t="s">
        <v>194</v>
      </c>
      <c r="C13" s="82"/>
      <c r="D13" s="87" t="s">
        <v>1</v>
      </c>
      <c r="E13" s="87"/>
      <c r="F13" s="88" t="s">
        <v>197</v>
      </c>
      <c r="G13" s="88"/>
      <c r="H13" s="106" t="s">
        <v>198</v>
      </c>
      <c r="I13" s="24"/>
      <c r="J13" s="105" t="s">
        <v>199</v>
      </c>
      <c r="K13" s="24"/>
      <c r="L13" s="87" t="s">
        <v>204</v>
      </c>
      <c r="M13" s="24"/>
      <c r="N13" s="105" t="s">
        <v>205</v>
      </c>
      <c r="O13" s="117"/>
      <c r="R13" t="s">
        <v>166</v>
      </c>
      <c r="S13" t="s">
        <v>182</v>
      </c>
      <c r="T13" t="s">
        <v>184</v>
      </c>
    </row>
    <row r="14" spans="1:42">
      <c r="B14" s="86" t="s">
        <v>21</v>
      </c>
      <c r="C14" s="24"/>
      <c r="D14" s="98" t="s">
        <v>196</v>
      </c>
      <c r="E14" s="24"/>
      <c r="F14" s="99">
        <v>1</v>
      </c>
      <c r="G14" s="24"/>
      <c r="H14" s="99">
        <v>24000</v>
      </c>
      <c r="I14" s="24"/>
      <c r="J14" s="85">
        <f>N72</f>
        <v>1239.1772127025574</v>
      </c>
      <c r="K14" s="24"/>
      <c r="L14" s="101">
        <f>(J14*D5)/10^6</f>
        <v>30.694237151756635</v>
      </c>
      <c r="M14" s="99"/>
      <c r="N14" s="101">
        <f>(L14*10^6)/D5</f>
        <v>1239.1772127025574</v>
      </c>
      <c r="O14" s="85"/>
      <c r="Q14" t="s">
        <v>147</v>
      </c>
      <c r="R14" s="7">
        <f>1.09*1.15*1.25</f>
        <v>1.566875</v>
      </c>
      <c r="S14" s="7">
        <f>R14*$S26</f>
        <v>5.0140000000000002</v>
      </c>
      <c r="T14" s="7">
        <f>S14*$S30</f>
        <v>9.1254800000000014</v>
      </c>
      <c r="Z14" s="21"/>
      <c r="AA14" s="6"/>
      <c r="AK14" s="6"/>
      <c r="AN14" s="6"/>
      <c r="AP14" s="6"/>
    </row>
    <row r="15" spans="1:42">
      <c r="B15" s="86" t="s">
        <v>195</v>
      </c>
      <c r="C15" s="24"/>
      <c r="D15" s="94" t="s">
        <v>196</v>
      </c>
      <c r="E15" s="24"/>
      <c r="F15" s="93">
        <v>1</v>
      </c>
      <c r="G15" s="24"/>
      <c r="H15" s="93">
        <v>24000</v>
      </c>
      <c r="I15" s="24"/>
      <c r="J15" s="85"/>
      <c r="K15" s="24"/>
      <c r="L15" s="100">
        <f>L14</f>
        <v>30.694237151756635</v>
      </c>
      <c r="M15" s="93"/>
      <c r="N15" s="100">
        <f>N14</f>
        <v>1239.1772127025574</v>
      </c>
      <c r="O15" s="100"/>
      <c r="Q15" t="s">
        <v>11</v>
      </c>
      <c r="R15" s="7">
        <f>7.7*1.25*1.15</f>
        <v>11.06875</v>
      </c>
      <c r="S15" s="7">
        <f>R15*$S26</f>
        <v>35.42</v>
      </c>
      <c r="T15" s="7">
        <f>S15*$S30</f>
        <v>64.464400000000012</v>
      </c>
      <c r="Z15" s="1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N15" s="6"/>
      <c r="AP15" s="6"/>
    </row>
    <row r="16" spans="1:42">
      <c r="B16" s="24"/>
      <c r="C16" s="24"/>
      <c r="D16" s="8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t="s">
        <v>12</v>
      </c>
      <c r="R16" s="7">
        <f>R14+R15</f>
        <v>12.635624999999999</v>
      </c>
      <c r="S16" s="7">
        <f>S14+S15</f>
        <v>40.434000000000005</v>
      </c>
      <c r="T16" s="7">
        <f>T14+T15</f>
        <v>73.589880000000008</v>
      </c>
      <c r="Z16" s="2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N16" s="6"/>
    </row>
    <row r="17" spans="2:42">
      <c r="B17" s="88" t="s">
        <v>207</v>
      </c>
      <c r="C17" s="24"/>
      <c r="D17" s="8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Z17" s="11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N17" s="6"/>
      <c r="AP17" s="6"/>
    </row>
    <row r="18" spans="2:42">
      <c r="B18" s="86" t="s">
        <v>234</v>
      </c>
      <c r="C18" s="24"/>
      <c r="D18" s="98" t="s">
        <v>196</v>
      </c>
      <c r="E18" s="24"/>
      <c r="F18" s="101">
        <f>(0.231*0.5*32)/'Intermediate Calculations'!$M$3</f>
        <v>0.21701602959309496</v>
      </c>
      <c r="G18" s="85"/>
      <c r="H18" s="101">
        <f>F18*D5</f>
        <v>5375.4551082614062</v>
      </c>
      <c r="I18" s="24"/>
      <c r="J18" s="85">
        <v>0</v>
      </c>
      <c r="K18" s="24"/>
      <c r="L18" s="101">
        <f>(J18*H18)/10^6</f>
        <v>0</v>
      </c>
      <c r="M18" s="99"/>
      <c r="N18" s="101">
        <f>(L18*10^6)/D5</f>
        <v>0</v>
      </c>
      <c r="O18" s="115"/>
      <c r="Q18" s="143" t="s">
        <v>360</v>
      </c>
      <c r="Z18" s="17"/>
      <c r="AA18" s="6"/>
      <c r="AH18" s="6"/>
      <c r="AK18" s="6"/>
      <c r="AL18" s="6"/>
      <c r="AN18" s="6"/>
    </row>
    <row r="19" spans="2:42">
      <c r="B19" s="86" t="s">
        <v>235</v>
      </c>
      <c r="C19" s="24"/>
      <c r="D19" s="94" t="s">
        <v>196</v>
      </c>
      <c r="E19" s="24"/>
      <c r="F19" s="100">
        <f>F18</f>
        <v>0.21701602959309496</v>
      </c>
      <c r="G19" s="85"/>
      <c r="H19" s="100">
        <f>H18</f>
        <v>5375.4551082614062</v>
      </c>
      <c r="I19" s="24"/>
      <c r="J19" s="85"/>
      <c r="K19" s="24"/>
      <c r="L19" s="100">
        <f>L18</f>
        <v>0</v>
      </c>
      <c r="M19" s="93"/>
      <c r="N19" s="100">
        <f>N18</f>
        <v>0</v>
      </c>
      <c r="O19" s="85"/>
      <c r="Q19" s="11" t="s">
        <v>168</v>
      </c>
      <c r="S19">
        <v>0.3</v>
      </c>
      <c r="Z19" s="17"/>
      <c r="AA19" s="6"/>
      <c r="AH19" s="6"/>
      <c r="AK19" s="6"/>
      <c r="AL19" s="6"/>
      <c r="AN19" s="6"/>
    </row>
    <row r="20" spans="2:42">
      <c r="B20" s="24"/>
      <c r="C20" s="24"/>
      <c r="D20" s="8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93"/>
      <c r="Q20" s="11" t="s">
        <v>169</v>
      </c>
      <c r="S20">
        <v>0.8</v>
      </c>
      <c r="Z20" s="11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N20" s="6"/>
      <c r="AP20" s="4"/>
    </row>
    <row r="21" spans="2:42">
      <c r="B21" s="88" t="s">
        <v>208</v>
      </c>
      <c r="C21" s="24"/>
      <c r="D21" s="8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Q21" s="11" t="s">
        <v>170</v>
      </c>
      <c r="S21">
        <v>0.3</v>
      </c>
      <c r="Z21" s="17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N21" s="6"/>
    </row>
    <row r="22" spans="2:42">
      <c r="B22" s="86" t="s">
        <v>43</v>
      </c>
      <c r="C22" s="24"/>
      <c r="D22" s="82" t="s">
        <v>196</v>
      </c>
      <c r="E22" s="24"/>
      <c r="F22" s="85">
        <f>(1.5*'Intermediate Calculations'!$M$6)/'Intermediate Calculations'!$M$3</f>
        <v>0.17791086841641715</v>
      </c>
      <c r="G22" s="85"/>
      <c r="H22" s="85">
        <f>F22*D5</f>
        <v>4406.8260221948221</v>
      </c>
      <c r="I22" s="24"/>
      <c r="J22" s="85">
        <f>'H2'!N70</f>
        <v>4006.9166336414442</v>
      </c>
      <c r="K22" s="24"/>
      <c r="L22" s="85">
        <f>(J22/10^6)*H22</f>
        <v>17.657784489896393</v>
      </c>
      <c r="M22" s="24"/>
      <c r="N22" s="85">
        <f>(L22*10^6)/D5</f>
        <v>712.8740179633362</v>
      </c>
      <c r="O22" s="115"/>
      <c r="Q22" s="11" t="s">
        <v>171</v>
      </c>
      <c r="S22">
        <v>0.2</v>
      </c>
      <c r="Z22" s="11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N22" s="6"/>
    </row>
    <row r="23" spans="2:42">
      <c r="B23" s="86" t="s">
        <v>233</v>
      </c>
      <c r="C23" s="24"/>
      <c r="D23" s="98" t="s">
        <v>196</v>
      </c>
      <c r="E23" s="24"/>
      <c r="F23" s="101">
        <f>(0.5*'Intermediate Calculations'!$M$7)/(0.768*'Intermediate Calculations'!$M$3)</f>
        <v>1.0711166402442605</v>
      </c>
      <c r="G23" s="85"/>
      <c r="H23" s="101">
        <f>F23*D5</f>
        <v>26531.40151048089</v>
      </c>
      <c r="I23" s="24"/>
      <c r="J23" s="85">
        <v>0</v>
      </c>
      <c r="K23" s="24"/>
      <c r="L23" s="101">
        <f>(J23/10^6)*H23</f>
        <v>0</v>
      </c>
      <c r="M23" s="99"/>
      <c r="N23" s="101">
        <f>(L23*10^6)/D5</f>
        <v>0</v>
      </c>
      <c r="O23" s="85"/>
      <c r="Q23" s="11" t="s">
        <v>172</v>
      </c>
      <c r="S23">
        <v>0.3</v>
      </c>
      <c r="AH23" s="6"/>
    </row>
    <row r="24" spans="2:42">
      <c r="B24" s="86"/>
      <c r="C24" s="24" t="s">
        <v>254</v>
      </c>
      <c r="D24" s="93"/>
      <c r="E24" s="24"/>
      <c r="F24" s="100">
        <f>F22+F23</f>
        <v>1.2490275086606777</v>
      </c>
      <c r="G24" s="85"/>
      <c r="H24" s="119">
        <f ca="1">SUM(H22:H24)</f>
        <v>0</v>
      </c>
      <c r="I24" s="24"/>
      <c r="J24" s="85"/>
      <c r="K24" s="24"/>
      <c r="L24" s="100">
        <f>L22+L23</f>
        <v>17.657784489896393</v>
      </c>
      <c r="M24" s="93"/>
      <c r="N24" s="100">
        <f>N22+N23</f>
        <v>712.8740179633362</v>
      </c>
      <c r="O24" s="100"/>
      <c r="Q24" s="11" t="s">
        <v>173</v>
      </c>
      <c r="S24">
        <v>0.2</v>
      </c>
      <c r="AG24" s="6"/>
      <c r="AH24" s="6"/>
      <c r="AI24" s="6"/>
      <c r="AJ24" s="6"/>
      <c r="AK24" s="6"/>
      <c r="AN24" s="6"/>
      <c r="AP24" s="6"/>
    </row>
    <row r="25" spans="2:4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11" t="s">
        <v>174</v>
      </c>
      <c r="S25">
        <v>0.1</v>
      </c>
      <c r="AN25" s="7"/>
      <c r="AP25" s="6"/>
    </row>
    <row r="26" spans="2:42">
      <c r="B26" s="24"/>
      <c r="C26" s="24"/>
      <c r="D26" s="24"/>
      <c r="E26" s="24"/>
      <c r="F26" s="85"/>
      <c r="G26" s="85"/>
      <c r="H26" s="24" t="s">
        <v>253</v>
      </c>
      <c r="I26" s="24"/>
      <c r="J26" s="24"/>
      <c r="K26" s="24"/>
      <c r="L26" s="85">
        <f>L15+L19-L24</f>
        <v>13.036452661860242</v>
      </c>
      <c r="M26" s="24"/>
      <c r="N26" s="85">
        <f>N15+N19+N24</f>
        <v>1952.0512306658936</v>
      </c>
      <c r="O26" s="85"/>
      <c r="Q26" t="s">
        <v>175</v>
      </c>
      <c r="S26" s="4">
        <f>(1+S20)+(S19+S22+S21+S23+S24+S25)</f>
        <v>3.2</v>
      </c>
      <c r="AP26" s="6"/>
    </row>
    <row r="27" spans="2:42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Q27" s="11" t="s">
        <v>178</v>
      </c>
      <c r="S27">
        <v>0.3</v>
      </c>
      <c r="AN27" s="7"/>
    </row>
    <row r="28" spans="2:42">
      <c r="B28" s="97" t="s">
        <v>200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Q28" s="11" t="s">
        <v>177</v>
      </c>
      <c r="S28">
        <v>0.3</v>
      </c>
      <c r="AN28" s="7"/>
      <c r="AP28" s="4"/>
    </row>
    <row r="29" spans="2:42">
      <c r="B29" s="93"/>
      <c r="C29" s="93"/>
      <c r="D29" s="96" t="s">
        <v>1</v>
      </c>
      <c r="E29" s="96"/>
      <c r="F29" s="96" t="s">
        <v>197</v>
      </c>
      <c r="G29" s="96"/>
      <c r="H29" s="96" t="s">
        <v>198</v>
      </c>
      <c r="I29" s="94"/>
      <c r="J29" s="118" t="s">
        <v>199</v>
      </c>
      <c r="K29" s="94"/>
      <c r="L29" s="96" t="s">
        <v>204</v>
      </c>
      <c r="M29" s="94"/>
      <c r="N29" s="96" t="s">
        <v>205</v>
      </c>
      <c r="O29" s="96"/>
      <c r="Q29" s="11" t="s">
        <v>176</v>
      </c>
      <c r="S29">
        <v>0.1</v>
      </c>
      <c r="Z29" s="11"/>
      <c r="AA29" s="7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N29" s="6"/>
    </row>
    <row r="30" spans="2:42">
      <c r="B30" s="24" t="s">
        <v>201</v>
      </c>
      <c r="C30" s="24"/>
      <c r="D30" s="82" t="s">
        <v>202</v>
      </c>
      <c r="E30" s="24"/>
      <c r="F30" s="90">
        <f>($U$43*$U$44)/(D5*1000)</f>
        <v>4.3947045759951517E-5</v>
      </c>
      <c r="G30" s="90"/>
      <c r="H30" s="89">
        <f>$U$43*$U$44</f>
        <v>1088.5618544688632</v>
      </c>
      <c r="I30" s="24"/>
      <c r="J30" s="85">
        <f>1.15*1.25*5</f>
        <v>7.1875</v>
      </c>
      <c r="K30" s="24"/>
      <c r="L30" s="91">
        <f>(H30*J30)/10^6</f>
        <v>7.8240383289949547E-3</v>
      </c>
      <c r="M30" s="24"/>
      <c r="N30" s="85">
        <f>(L30*10^6)/D5</f>
        <v>0.31586939139965153</v>
      </c>
      <c r="O30" s="85"/>
      <c r="Q30" s="11" t="s">
        <v>167</v>
      </c>
      <c r="S30" s="4">
        <f>(1+S27)*(1+S28+S29)</f>
        <v>1.8200000000000003</v>
      </c>
      <c r="Z30" s="2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2:42">
      <c r="B31" s="24" t="s">
        <v>32</v>
      </c>
      <c r="C31" s="24"/>
      <c r="D31" s="82" t="s">
        <v>202</v>
      </c>
      <c r="E31" s="24"/>
      <c r="F31" s="85">
        <v>0</v>
      </c>
      <c r="G31" s="85"/>
      <c r="H31" s="85">
        <v>0</v>
      </c>
      <c r="I31" s="85"/>
      <c r="J31" s="85">
        <v>0</v>
      </c>
      <c r="K31" s="85"/>
      <c r="L31" s="101">
        <v>0</v>
      </c>
      <c r="M31" s="101"/>
      <c r="N31" s="101">
        <v>0</v>
      </c>
      <c r="O31" s="115"/>
      <c r="Z31" s="11"/>
      <c r="AA31" s="7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N31" s="7"/>
    </row>
    <row r="32" spans="2:42">
      <c r="B32" s="24"/>
      <c r="C32" s="24" t="s">
        <v>203</v>
      </c>
      <c r="D32" s="24"/>
      <c r="E32" s="24"/>
      <c r="F32" s="24"/>
      <c r="G32" s="24"/>
      <c r="H32" s="24"/>
      <c r="I32" s="24"/>
      <c r="J32" s="24"/>
      <c r="K32" s="24"/>
      <c r="L32" s="107">
        <f>SUM(L30:L31)</f>
        <v>7.8240383289949547E-3</v>
      </c>
      <c r="M32" s="93"/>
      <c r="N32" s="100">
        <f>SUM(N30:N31)</f>
        <v>0.31586939139965153</v>
      </c>
      <c r="O32" s="85"/>
      <c r="Z32" s="11"/>
      <c r="AA32" s="7"/>
      <c r="AB32" s="7"/>
      <c r="AC32" s="7"/>
      <c r="AD32" s="6"/>
      <c r="AE32" s="6"/>
      <c r="AF32" s="6"/>
      <c r="AG32" s="7"/>
      <c r="AH32" s="6"/>
      <c r="AI32" s="7"/>
      <c r="AJ32" s="6"/>
      <c r="AK32" s="7"/>
      <c r="AL32" s="7"/>
    </row>
    <row r="33" spans="2:56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Z33" s="19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N33" s="2"/>
    </row>
    <row r="34" spans="2:56">
      <c r="B34" s="97" t="s">
        <v>206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R34" t="s">
        <v>357</v>
      </c>
      <c r="Z34" s="19"/>
      <c r="AH34" s="6"/>
      <c r="AN34" s="7"/>
      <c r="AP34" s="6"/>
    </row>
    <row r="35" spans="2:56">
      <c r="B35" s="93"/>
      <c r="C35" s="93"/>
      <c r="D35" s="96" t="s">
        <v>1</v>
      </c>
      <c r="E35" s="96"/>
      <c r="F35" s="96" t="s">
        <v>197</v>
      </c>
      <c r="G35" s="96"/>
      <c r="H35" s="96" t="s">
        <v>198</v>
      </c>
      <c r="I35" s="94"/>
      <c r="J35" s="118" t="s">
        <v>199</v>
      </c>
      <c r="K35" s="94"/>
      <c r="L35" s="96" t="s">
        <v>204</v>
      </c>
      <c r="M35" s="94"/>
      <c r="N35" s="96" t="s">
        <v>205</v>
      </c>
      <c r="O35" s="96"/>
      <c r="R35" s="25" t="s">
        <v>358</v>
      </c>
      <c r="Z35" s="11"/>
      <c r="AA35" s="7"/>
      <c r="AB35" s="4"/>
      <c r="AC35" s="4"/>
      <c r="AD35" s="4"/>
      <c r="AE35" s="4"/>
      <c r="AF35" s="4"/>
      <c r="AG35" s="4"/>
      <c r="AH35" s="6"/>
      <c r="AI35" s="4"/>
      <c r="AJ35" s="4"/>
      <c r="AK35" s="4"/>
      <c r="AL35" s="4"/>
      <c r="AN35" s="6"/>
      <c r="AP35" s="6"/>
    </row>
    <row r="36" spans="2:56">
      <c r="B36" s="24" t="s">
        <v>30</v>
      </c>
      <c r="C36" s="24"/>
      <c r="D36" s="82" t="s">
        <v>29</v>
      </c>
      <c r="E36" s="24"/>
      <c r="F36" s="85">
        <f>10.98-9.72</f>
        <v>1.2599999999999998</v>
      </c>
      <c r="G36" s="24"/>
      <c r="H36" s="24">
        <f>F36*D5</f>
        <v>31210.014527999996</v>
      </c>
      <c r="I36" s="24"/>
      <c r="J36" s="85">
        <f>Summary!$B$28*1000</f>
        <v>50</v>
      </c>
      <c r="K36" s="24"/>
      <c r="L36" s="85">
        <f>(J36*H36)/10^6</f>
        <v>1.5605007263999997</v>
      </c>
      <c r="M36" s="24"/>
      <c r="N36" s="85">
        <f>(L36*10^6)/D5</f>
        <v>62.999999999999993</v>
      </c>
      <c r="O36" s="115"/>
      <c r="R36" t="s">
        <v>150</v>
      </c>
      <c r="S36" t="s">
        <v>149</v>
      </c>
      <c r="T36" t="s">
        <v>151</v>
      </c>
      <c r="U36" t="s">
        <v>152</v>
      </c>
      <c r="V36" t="s">
        <v>153</v>
      </c>
      <c r="W36" t="s">
        <v>154</v>
      </c>
      <c r="X36" t="s">
        <v>155</v>
      </c>
      <c r="Y36" t="s">
        <v>156</v>
      </c>
      <c r="Z36" s="11"/>
      <c r="AB36" s="4"/>
      <c r="AC36" s="4"/>
      <c r="AD36" s="4"/>
      <c r="AE36" s="4"/>
      <c r="AF36" s="4"/>
      <c r="AG36" s="4"/>
      <c r="AH36" s="6"/>
      <c r="AI36" s="4"/>
      <c r="AJ36" s="4"/>
      <c r="AK36" s="4"/>
      <c r="AL36" s="4"/>
    </row>
    <row r="37" spans="2:56">
      <c r="B37" s="24" t="s">
        <v>252</v>
      </c>
      <c r="C37" s="24"/>
      <c r="D37" s="82" t="s">
        <v>196</v>
      </c>
      <c r="E37" s="24"/>
      <c r="F37" s="85">
        <f>H37/D5</f>
        <v>1614.8662780910834</v>
      </c>
      <c r="G37" s="85"/>
      <c r="H37" s="24">
        <f>5000*D6</f>
        <v>40000000</v>
      </c>
      <c r="I37" s="24"/>
      <c r="J37" s="85">
        <v>0</v>
      </c>
      <c r="K37" s="24"/>
      <c r="L37" s="101">
        <f>(J37*H37)/10^6</f>
        <v>0</v>
      </c>
      <c r="M37" s="99"/>
      <c r="N37" s="101">
        <f>(L37*10^6)/D5</f>
        <v>0</v>
      </c>
      <c r="O37" s="85"/>
      <c r="Q37" t="s">
        <v>148</v>
      </c>
      <c r="R37">
        <v>59.89</v>
      </c>
      <c r="S37">
        <v>205552</v>
      </c>
      <c r="T37">
        <v>3.4973999999999998</v>
      </c>
      <c r="U37">
        <v>0.44850000000000001</v>
      </c>
      <c r="V37">
        <v>0.1074</v>
      </c>
      <c r="W37">
        <v>0.38263611524562469</v>
      </c>
      <c r="X37">
        <f>10^(T37+U37*LOG(W37)+V37*(LOG(W37))^2)</f>
        <v>2132.918975766258</v>
      </c>
      <c r="Y37">
        <f>X37*(634/394)*R37</f>
        <v>205552.00017456475</v>
      </c>
      <c r="Z37" s="2"/>
      <c r="AA37" s="2"/>
      <c r="AB37" s="2"/>
      <c r="AC37" s="2"/>
      <c r="AD37" s="2"/>
      <c r="AE37" s="2"/>
      <c r="AF37" s="2"/>
      <c r="AG37" s="2"/>
      <c r="AH37" s="6"/>
      <c r="AI37" s="2"/>
      <c r="AJ37" s="2"/>
      <c r="AK37" s="2"/>
      <c r="AP37" s="6"/>
    </row>
    <row r="38" spans="2:56">
      <c r="B38" s="24"/>
      <c r="C38" s="24" t="s">
        <v>209</v>
      </c>
      <c r="D38" s="82"/>
      <c r="E38" s="24"/>
      <c r="F38" s="24"/>
      <c r="G38" s="24"/>
      <c r="H38" s="24"/>
      <c r="I38" s="24"/>
      <c r="J38" s="24"/>
      <c r="K38" s="24"/>
      <c r="L38" s="100">
        <f>L36</f>
        <v>1.5605007263999997</v>
      </c>
      <c r="M38" s="93"/>
      <c r="N38" s="100">
        <f>N36</f>
        <v>62.999999999999993</v>
      </c>
      <c r="O38" s="100"/>
      <c r="Z38" s="11"/>
      <c r="AA38" s="7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P38" s="6"/>
    </row>
    <row r="39" spans="2:56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S39" t="s">
        <v>157</v>
      </c>
      <c r="T39" t="s">
        <v>158</v>
      </c>
      <c r="U39" t="s">
        <v>159</v>
      </c>
      <c r="Z39" s="11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P39" s="4"/>
    </row>
    <row r="40" spans="2:56">
      <c r="B40" s="24"/>
      <c r="C40" s="24"/>
      <c r="D40" s="24"/>
      <c r="E40" s="24"/>
      <c r="F40" s="24" t="s">
        <v>210</v>
      </c>
      <c r="G40" s="24"/>
      <c r="H40" s="24"/>
      <c r="I40" s="24"/>
      <c r="J40" s="24"/>
      <c r="K40" s="24"/>
      <c r="L40" s="85">
        <f>L38+L32</f>
        <v>1.5683247647289946</v>
      </c>
      <c r="M40" s="24"/>
      <c r="N40" s="85">
        <f>N24-N19+N38+N32</f>
        <v>776.1898873547359</v>
      </c>
      <c r="O40" s="85"/>
      <c r="R40" t="s">
        <v>160</v>
      </c>
      <c r="S40">
        <v>0.5</v>
      </c>
      <c r="T40">
        <v>0.9</v>
      </c>
      <c r="U40">
        <v>1.1000000000000001</v>
      </c>
      <c r="Z40" s="2"/>
      <c r="AH40" s="6"/>
      <c r="AP40" s="4"/>
    </row>
    <row r="41" spans="2:56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R41" t="s">
        <v>161</v>
      </c>
      <c r="S41">
        <v>0.6</v>
      </c>
      <c r="T41">
        <v>0.6</v>
      </c>
      <c r="U41">
        <v>0.6</v>
      </c>
      <c r="Z41" s="11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2:56">
      <c r="B42" s="97" t="s">
        <v>211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R42" t="s">
        <v>162</v>
      </c>
      <c r="S42" s="7"/>
      <c r="T42" s="7"/>
      <c r="U42" s="7">
        <f>PI()*(U41/2)^2*(U40+T40+S40)</f>
        <v>0.70685834705770345</v>
      </c>
      <c r="Z42" s="11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2:56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6" t="s">
        <v>204</v>
      </c>
      <c r="M43" s="94"/>
      <c r="N43" s="96" t="s">
        <v>205</v>
      </c>
      <c r="O43" s="96"/>
      <c r="R43" t="s">
        <v>163</v>
      </c>
      <c r="S43" s="7"/>
      <c r="T43" s="7"/>
      <c r="U43" s="7">
        <f>0.7*U42</f>
        <v>0.49480084294039239</v>
      </c>
      <c r="Z43" s="11"/>
      <c r="AB43" s="4"/>
      <c r="AC43" s="6"/>
      <c r="AD43" s="6"/>
      <c r="AE43" s="6"/>
      <c r="AF43" s="6"/>
      <c r="AG43" s="4"/>
      <c r="AH43" s="6"/>
      <c r="AI43" s="4"/>
      <c r="AJ43" s="6"/>
      <c r="AK43" s="6"/>
      <c r="AL43" s="6"/>
      <c r="AN43" s="6"/>
    </row>
    <row r="44" spans="2:56">
      <c r="B44" s="24" t="s">
        <v>31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R44" t="s">
        <v>164</v>
      </c>
      <c r="U44">
        <v>2200</v>
      </c>
      <c r="Z44" s="11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N44" s="6"/>
      <c r="AZ44" s="4"/>
      <c r="BD44" s="4"/>
    </row>
    <row r="45" spans="2:56">
      <c r="B45" s="24"/>
      <c r="C45" s="24"/>
      <c r="D45" s="24">
        <v>4.8</v>
      </c>
      <c r="E45" s="24"/>
      <c r="F45" s="24" t="s">
        <v>212</v>
      </c>
      <c r="G45" s="24"/>
      <c r="H45" s="24"/>
      <c r="I45" s="24"/>
      <c r="J45" s="24"/>
      <c r="K45" s="24"/>
      <c r="L45" s="24"/>
      <c r="M45" s="24"/>
      <c r="N45" s="24"/>
      <c r="O45" s="24"/>
      <c r="R45" t="s">
        <v>165</v>
      </c>
      <c r="U45">
        <v>5</v>
      </c>
      <c r="Z45" s="11"/>
      <c r="AB45" s="6"/>
      <c r="AC45" s="6"/>
      <c r="AD45" s="6"/>
      <c r="AE45" s="6"/>
      <c r="AF45" s="6"/>
      <c r="AG45" s="6"/>
      <c r="AH45" s="6"/>
      <c r="AI45" s="6"/>
      <c r="AJ45" s="6"/>
      <c r="AN45" s="7"/>
      <c r="AZ45" s="4"/>
      <c r="BC45" s="11"/>
      <c r="BD45" s="12"/>
    </row>
    <row r="46" spans="2:56">
      <c r="B46" s="86" t="s">
        <v>213</v>
      </c>
      <c r="C46" s="24"/>
      <c r="D46" s="89">
        <f>S64</f>
        <v>3.3346664001066135</v>
      </c>
      <c r="E46" s="24"/>
      <c r="F46" s="24"/>
      <c r="G46" s="24"/>
      <c r="H46" s="24"/>
      <c r="I46" s="89">
        <f>S66</f>
        <v>25000</v>
      </c>
      <c r="J46" s="24" t="s">
        <v>216</v>
      </c>
      <c r="K46" s="24"/>
      <c r="L46" s="120">
        <f>(D46*D45*I46)/10^6</f>
        <v>0.40015996801279358</v>
      </c>
      <c r="M46" s="24"/>
      <c r="N46" s="85">
        <f>(L46*10^6)/D$5</f>
        <v>16.155120954646673</v>
      </c>
      <c r="O46" s="85"/>
      <c r="S46" s="6"/>
      <c r="T46" s="6"/>
      <c r="U46" s="6">
        <f>U43*$U44*$U45</f>
        <v>5442.809272344316</v>
      </c>
      <c r="AZ46" s="4"/>
      <c r="BC46" s="11"/>
      <c r="BD46" s="6"/>
    </row>
    <row r="47" spans="2:56">
      <c r="B47" s="24" t="s">
        <v>214</v>
      </c>
      <c r="C47" s="24"/>
      <c r="D47" s="24"/>
      <c r="E47" s="24"/>
      <c r="F47" s="24"/>
      <c r="G47" s="24"/>
      <c r="H47" s="24"/>
      <c r="I47" s="84">
        <v>0.25</v>
      </c>
      <c r="J47" s="24" t="s">
        <v>217</v>
      </c>
      <c r="K47" s="24"/>
      <c r="L47" s="85">
        <f>I47*L46</f>
        <v>0.10003999200319839</v>
      </c>
      <c r="M47" s="24"/>
      <c r="N47" s="85">
        <f>(L47*10^6)/D$5</f>
        <v>4.0387802386616682</v>
      </c>
      <c r="O47" s="85"/>
      <c r="Z47" s="11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BC47" s="11"/>
      <c r="BD47" s="7"/>
    </row>
    <row r="48" spans="2:56">
      <c r="B48" s="24" t="s">
        <v>215</v>
      </c>
      <c r="C48" s="24"/>
      <c r="D48" s="24"/>
      <c r="E48" s="24"/>
      <c r="F48" s="24"/>
      <c r="G48" s="24"/>
      <c r="H48" s="24"/>
      <c r="I48" s="84">
        <v>0.45</v>
      </c>
      <c r="J48" s="24" t="s">
        <v>218</v>
      </c>
      <c r="K48" s="24"/>
      <c r="L48" s="85">
        <f>I48*(L46+L47)</f>
        <v>0.2250899820071964</v>
      </c>
      <c r="M48" s="24"/>
      <c r="N48" s="85">
        <f>(L48*10^6)/D$5</f>
        <v>9.0872555369887547</v>
      </c>
      <c r="O48" s="85"/>
      <c r="BC48" s="11"/>
      <c r="BD48" s="4"/>
    </row>
    <row r="49" spans="2:56">
      <c r="B49" s="24" t="s">
        <v>15</v>
      </c>
      <c r="C49" s="24"/>
      <c r="D49" s="24"/>
      <c r="E49" s="24"/>
      <c r="F49" s="24"/>
      <c r="G49" s="24"/>
      <c r="H49" s="24"/>
      <c r="I49" s="84">
        <v>0.03</v>
      </c>
      <c r="J49" s="24" t="s">
        <v>219</v>
      </c>
      <c r="K49" s="24"/>
      <c r="L49" s="85">
        <f>I49*M4</f>
        <v>1.21302</v>
      </c>
      <c r="M49" s="24"/>
      <c r="N49" s="85">
        <f>(L49*10^6)/D$5</f>
        <v>48.971627316251144</v>
      </c>
      <c r="O49" s="85"/>
      <c r="BC49" s="11"/>
      <c r="BD49" s="4"/>
    </row>
    <row r="50" spans="2:56">
      <c r="B50" s="24" t="s">
        <v>220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85"/>
      <c r="O50" s="85"/>
    </row>
    <row r="51" spans="2:56">
      <c r="B51" s="86" t="s">
        <v>221</v>
      </c>
      <c r="C51" s="24"/>
      <c r="D51" s="24"/>
      <c r="E51" s="24"/>
      <c r="F51" s="24"/>
      <c r="G51" s="24"/>
      <c r="H51" s="24"/>
      <c r="I51" s="84">
        <v>0.65</v>
      </c>
      <c r="J51" s="24" t="s">
        <v>224</v>
      </c>
      <c r="K51" s="24"/>
      <c r="L51" s="85">
        <f>0.65*(L46+L49)</f>
        <v>1.0485669792083159</v>
      </c>
      <c r="M51" s="24"/>
      <c r="N51" s="85">
        <f>(L51*10^6)/D$5</f>
        <v>42.332386376083583</v>
      </c>
      <c r="O51" s="85"/>
    </row>
    <row r="52" spans="2:56">
      <c r="B52" s="86" t="s">
        <v>222</v>
      </c>
      <c r="C52" s="24"/>
      <c r="D52" s="24"/>
      <c r="E52" s="24"/>
      <c r="F52" s="24"/>
      <c r="G52" s="24"/>
      <c r="H52" s="24"/>
      <c r="I52" s="84">
        <v>0.02</v>
      </c>
      <c r="J52" s="24" t="s">
        <v>311</v>
      </c>
      <c r="K52" s="24"/>
      <c r="L52" s="85">
        <f>I52*M4</f>
        <v>0.80868000000000007</v>
      </c>
      <c r="M52" s="24"/>
      <c r="N52" s="85">
        <f>(L52*10^6)/D$5</f>
        <v>32.647751544167434</v>
      </c>
      <c r="O52" s="85"/>
    </row>
    <row r="53" spans="2:56">
      <c r="B53" s="24" t="s">
        <v>223</v>
      </c>
      <c r="C53" s="24"/>
      <c r="D53" s="24"/>
      <c r="E53" s="24"/>
      <c r="F53" s="24"/>
      <c r="G53" s="24"/>
      <c r="H53" s="24"/>
      <c r="I53" s="84">
        <v>0</v>
      </c>
      <c r="J53" s="24" t="s">
        <v>225</v>
      </c>
      <c r="K53" s="24"/>
      <c r="L53" s="85">
        <f>I53*M8</f>
        <v>0</v>
      </c>
      <c r="M53" s="24"/>
      <c r="N53" s="85">
        <f>(L53*10^6)/D$5</f>
        <v>0</v>
      </c>
      <c r="O53" s="115"/>
    </row>
    <row r="54" spans="2:56">
      <c r="B54" s="24"/>
      <c r="C54" s="24"/>
      <c r="D54" s="24"/>
      <c r="E54" s="24"/>
      <c r="F54" s="24"/>
      <c r="G54" s="24"/>
      <c r="H54" s="24"/>
      <c r="I54" s="84">
        <f>Summary!B32</f>
        <v>0.08</v>
      </c>
      <c r="J54" s="24" t="s">
        <v>226</v>
      </c>
      <c r="K54" s="24"/>
      <c r="L54" s="101">
        <f>I54*$V$4</f>
        <v>0.17727915086914919</v>
      </c>
      <c r="M54" s="99"/>
      <c r="N54" s="101">
        <f>(L54*10^6)/D$5</f>
        <v>7.1570530636802649</v>
      </c>
      <c r="O54" s="85"/>
    </row>
    <row r="55" spans="2:56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93"/>
      <c r="M55" s="93"/>
      <c r="N55" s="93"/>
      <c r="O55" s="93"/>
    </row>
    <row r="56" spans="2:56">
      <c r="B56" s="24"/>
      <c r="C56" s="24"/>
      <c r="D56" s="24"/>
      <c r="E56" s="24"/>
      <c r="F56" s="24"/>
      <c r="G56" s="24"/>
      <c r="H56" s="24"/>
      <c r="I56" s="24" t="s">
        <v>227</v>
      </c>
      <c r="J56" s="24"/>
      <c r="K56" s="24"/>
      <c r="L56" s="85">
        <f>SUM(L46:L54)</f>
        <v>3.972836072100653</v>
      </c>
      <c r="M56" s="24"/>
      <c r="N56" s="85">
        <f>SUM(N46:N54)</f>
        <v>160.38997503047952</v>
      </c>
      <c r="O56" s="85"/>
    </row>
    <row r="57" spans="2:56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56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R58" t="s">
        <v>356</v>
      </c>
    </row>
    <row r="59" spans="2:56">
      <c r="B59" s="97" t="s">
        <v>230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R59" s="1" t="s">
        <v>359</v>
      </c>
    </row>
    <row r="60" spans="2:56">
      <c r="B60" s="93"/>
      <c r="C60" s="93"/>
      <c r="D60" s="96" t="s">
        <v>228</v>
      </c>
      <c r="E60" s="96"/>
      <c r="F60" s="96" t="s">
        <v>9</v>
      </c>
      <c r="G60" s="96"/>
      <c r="H60" s="96" t="s">
        <v>231</v>
      </c>
      <c r="I60" s="94"/>
      <c r="J60" s="96" t="s">
        <v>28</v>
      </c>
      <c r="K60" s="94"/>
      <c r="L60" s="96" t="s">
        <v>204</v>
      </c>
      <c r="M60" s="94"/>
      <c r="N60" s="96" t="s">
        <v>232</v>
      </c>
      <c r="O60" s="116"/>
    </row>
    <row r="61" spans="2:56">
      <c r="B61" s="24" t="s">
        <v>167</v>
      </c>
      <c r="C61" s="24"/>
      <c r="D61" s="91">
        <f>M8</f>
        <v>73.589880000000008</v>
      </c>
      <c r="E61" s="91"/>
      <c r="F61" s="84">
        <f>Summary!$B$32</f>
        <v>0.08</v>
      </c>
      <c r="G61" s="84"/>
      <c r="H61" s="24">
        <f>Summary!$B$33</f>
        <v>20</v>
      </c>
      <c r="I61" s="24"/>
      <c r="J61" s="91">
        <f>Summary!$B$34</f>
        <v>0.10185220882315059</v>
      </c>
      <c r="K61" s="24"/>
      <c r="L61" s="101">
        <f>J61*D61</f>
        <v>7.495291825030594</v>
      </c>
      <c r="M61" s="99"/>
      <c r="N61" s="101">
        <f>(L61*10^6)/D5</f>
        <v>302.59735031734198</v>
      </c>
      <c r="O61" s="85"/>
    </row>
    <row r="62" spans="2:56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93"/>
      <c r="M62" s="93"/>
      <c r="N62" s="93"/>
      <c r="O62" s="93"/>
      <c r="Q62" s="2" t="s">
        <v>21</v>
      </c>
      <c r="AI62" s="2"/>
    </row>
    <row r="63" spans="2:56">
      <c r="B63" s="24"/>
      <c r="C63" s="24"/>
      <c r="D63" s="24"/>
      <c r="E63" s="24"/>
      <c r="F63" s="24"/>
      <c r="G63" s="24"/>
      <c r="H63" s="24" t="s">
        <v>246</v>
      </c>
      <c r="I63" s="24"/>
      <c r="J63" s="24"/>
      <c r="K63" s="24"/>
      <c r="L63" s="85">
        <f>L61</f>
        <v>7.495291825030594</v>
      </c>
      <c r="M63" s="24"/>
      <c r="N63" s="85">
        <f>N61</f>
        <v>302.59735031734198</v>
      </c>
      <c r="O63" s="85"/>
      <c r="Q63" s="11" t="s">
        <v>56</v>
      </c>
      <c r="S63">
        <v>21</v>
      </c>
      <c r="AI63" s="11"/>
      <c r="AJ63" s="6"/>
      <c r="AL63" s="6"/>
      <c r="AM63" s="6"/>
      <c r="AN63" s="6"/>
      <c r="AO63" s="6"/>
    </row>
    <row r="64" spans="2:56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Q64" s="11" t="s">
        <v>55</v>
      </c>
      <c r="S64" s="4">
        <f>(6.29+0.23*S63)^0.5</f>
        <v>3.3346664001066135</v>
      </c>
      <c r="AI64" s="11"/>
      <c r="AL64" s="4"/>
      <c r="AM64" s="4"/>
      <c r="AN64" s="7"/>
      <c r="AO64" s="7"/>
    </row>
    <row r="65" spans="2:42">
      <c r="B65" s="97" t="s">
        <v>247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Q65" s="11" t="s">
        <v>31</v>
      </c>
      <c r="S65" s="4">
        <f>4.5*S64</f>
        <v>15.005998800479761</v>
      </c>
      <c r="AI65" s="11"/>
      <c r="AL65" s="4"/>
      <c r="AM65" s="4"/>
      <c r="AN65" s="4"/>
      <c r="AO65" s="4"/>
    </row>
    <row r="66" spans="2:42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6" t="s">
        <v>204</v>
      </c>
      <c r="M66" s="94"/>
      <c r="N66" s="96" t="s">
        <v>232</v>
      </c>
      <c r="O66" s="96"/>
      <c r="Q66" s="11" t="s">
        <v>57</v>
      </c>
      <c r="S66">
        <v>25000</v>
      </c>
      <c r="AI66" s="11"/>
      <c r="AL66" s="4"/>
      <c r="AM66" s="4"/>
      <c r="AN66" s="4"/>
      <c r="AO66" s="4"/>
    </row>
    <row r="67" spans="2:42">
      <c r="B67" s="24"/>
      <c r="C67" s="24"/>
      <c r="D67" s="24"/>
      <c r="E67" s="24"/>
      <c r="F67" s="24"/>
      <c r="G67" s="24"/>
      <c r="H67" s="24" t="s">
        <v>248</v>
      </c>
      <c r="I67" s="24"/>
      <c r="J67" s="24"/>
      <c r="K67" s="24"/>
      <c r="L67" s="85">
        <f>L40</f>
        <v>1.5683247647289946</v>
      </c>
      <c r="M67" s="24"/>
      <c r="N67" s="85">
        <f>N40</f>
        <v>776.1898873547359</v>
      </c>
      <c r="O67" s="115"/>
    </row>
    <row r="68" spans="2:42">
      <c r="B68" s="24"/>
      <c r="C68" s="24"/>
      <c r="D68" s="24"/>
      <c r="E68" s="24"/>
      <c r="F68" s="24"/>
      <c r="G68" s="24"/>
      <c r="H68" s="24" t="s">
        <v>249</v>
      </c>
      <c r="I68" s="24"/>
      <c r="J68" s="24"/>
      <c r="K68" s="24"/>
      <c r="L68" s="101">
        <f>L56</f>
        <v>3.972836072100653</v>
      </c>
      <c r="M68" s="99"/>
      <c r="N68" s="101">
        <f>N56</f>
        <v>160.38997503047952</v>
      </c>
      <c r="O68" s="85"/>
    </row>
    <row r="69" spans="2:42">
      <c r="B69" s="24"/>
      <c r="C69" s="24"/>
      <c r="D69" s="24"/>
      <c r="E69" s="24"/>
      <c r="F69" s="24"/>
      <c r="G69" s="24"/>
      <c r="H69" s="24" t="s">
        <v>250</v>
      </c>
      <c r="I69" s="24"/>
      <c r="J69" s="24"/>
      <c r="K69" s="24"/>
      <c r="L69" s="100">
        <f>L67+L68</f>
        <v>5.5411608368296479</v>
      </c>
      <c r="M69" s="93"/>
      <c r="N69" s="100">
        <f>N67+N68</f>
        <v>936.57986238521539</v>
      </c>
      <c r="O69" s="100"/>
    </row>
    <row r="70" spans="2:4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42">
      <c r="B71" s="24"/>
      <c r="C71" s="24"/>
      <c r="D71" s="24"/>
      <c r="E71" s="24"/>
      <c r="F71" s="24"/>
      <c r="G71" s="24"/>
      <c r="H71" s="24" t="s">
        <v>251</v>
      </c>
      <c r="I71" s="24"/>
      <c r="J71" s="24"/>
      <c r="K71" s="24"/>
      <c r="L71" s="85">
        <f>L69+L63</f>
        <v>13.036452661860242</v>
      </c>
      <c r="M71" s="24"/>
      <c r="N71" s="85">
        <f>N69+N63</f>
        <v>1239.1772127025574</v>
      </c>
      <c r="O71" s="85"/>
    </row>
    <row r="72" spans="2:42">
      <c r="B72" s="24"/>
      <c r="C72" s="24"/>
      <c r="D72" s="24"/>
      <c r="E72" s="24"/>
      <c r="F72" s="24"/>
      <c r="G72" s="24"/>
      <c r="H72" s="24" t="s">
        <v>255</v>
      </c>
      <c r="I72" s="24"/>
      <c r="J72" s="24"/>
      <c r="K72" s="24"/>
      <c r="L72" s="85">
        <f>L71</f>
        <v>13.036452661860242</v>
      </c>
      <c r="M72" s="24"/>
      <c r="N72" s="85">
        <f>N71</f>
        <v>1239.1772127025574</v>
      </c>
      <c r="O72" s="85"/>
    </row>
    <row r="76" spans="2:42">
      <c r="AJ76" s="7"/>
      <c r="AL76" s="7"/>
      <c r="AN76" s="7"/>
      <c r="AP76" s="7"/>
    </row>
    <row r="77" spans="2:42">
      <c r="AI77" s="7"/>
      <c r="AJ77" s="7"/>
      <c r="AL77" s="7"/>
      <c r="AN77" s="7"/>
      <c r="AP77" s="7"/>
    </row>
    <row r="78" spans="2:42">
      <c r="AI78" s="7"/>
      <c r="AJ78" s="7"/>
      <c r="AL78" s="7"/>
      <c r="AN78" s="7"/>
      <c r="AP78" s="7"/>
    </row>
    <row r="81" spans="34:36">
      <c r="AH81" s="11"/>
    </row>
    <row r="82" spans="34:36">
      <c r="AH82" s="11"/>
    </row>
    <row r="83" spans="34:36">
      <c r="AH83" s="11"/>
    </row>
    <row r="84" spans="34:36">
      <c r="AH84" s="11"/>
    </row>
    <row r="85" spans="34:36">
      <c r="AH85" s="11"/>
    </row>
    <row r="86" spans="34:36">
      <c r="AH86" s="11"/>
    </row>
    <row r="87" spans="34:36">
      <c r="AH87" s="11"/>
    </row>
    <row r="88" spans="34:36">
      <c r="AJ88" s="4"/>
    </row>
    <row r="89" spans="34:36">
      <c r="AH89" s="11"/>
    </row>
    <row r="90" spans="34:36">
      <c r="AH90" s="11"/>
    </row>
    <row r="91" spans="34:36">
      <c r="AH91" s="11"/>
    </row>
    <row r="92" spans="34:36">
      <c r="AH92" s="11"/>
      <c r="AJ92" s="4"/>
    </row>
  </sheetData>
  <hyperlinks>
    <hyperlink ref="R59" r:id="rId1" xr:uid="{B448093A-7912-8744-950B-15F7CD10C2FB}"/>
    <hyperlink ref="B2" r:id="rId2" xr:uid="{C977B280-BCC8-7C40-BE09-7DD64252A029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FF5F-0936-0148-A193-91706F0A1CD9}">
  <dimension ref="B1:AT140"/>
  <sheetViews>
    <sheetView zoomScale="50" workbookViewId="0">
      <selection activeCell="R64" sqref="R64"/>
    </sheetView>
  </sheetViews>
  <sheetFormatPr baseColWidth="10" defaultRowHeight="16"/>
  <cols>
    <col min="2" max="2" width="19.33203125" customWidth="1"/>
    <col min="3" max="3" width="11.5" customWidth="1"/>
    <col min="4" max="4" width="10.5" customWidth="1"/>
    <col min="5" max="5" width="8.5" customWidth="1"/>
    <col min="6" max="6" width="9.33203125" customWidth="1"/>
    <col min="7" max="7" width="15.6640625" bestFit="1" customWidth="1"/>
    <col min="8" max="8" width="15.1640625" bestFit="1" customWidth="1"/>
    <col min="9" max="9" width="9.1640625" customWidth="1"/>
    <col min="12" max="12" width="9.5" customWidth="1"/>
    <col min="14" max="14" width="8.33203125" customWidth="1"/>
    <col min="18" max="18" width="16.1640625" customWidth="1"/>
    <col min="23" max="23" width="12.1640625" bestFit="1" customWidth="1"/>
  </cols>
  <sheetData>
    <row r="1" spans="2:46">
      <c r="AN1" s="1"/>
      <c r="AO1" s="1"/>
      <c r="AP1" s="1"/>
      <c r="AQ1" s="1"/>
      <c r="AR1" s="1"/>
      <c r="AS1" s="1"/>
    </row>
    <row r="2" spans="2:46">
      <c r="B2" s="154" t="s">
        <v>345</v>
      </c>
      <c r="C2" s="97"/>
      <c r="D2" s="97"/>
      <c r="E2" s="97"/>
      <c r="F2" s="97"/>
      <c r="G2" s="97"/>
      <c r="H2" s="97"/>
      <c r="I2" s="111"/>
      <c r="J2" s="97" t="s">
        <v>192</v>
      </c>
      <c r="K2" s="97"/>
      <c r="L2" s="97"/>
      <c r="M2" s="97"/>
      <c r="N2" s="97"/>
      <c r="O2" s="97"/>
      <c r="AL2" s="2"/>
      <c r="AT2" s="2"/>
    </row>
    <row r="3" spans="2:46">
      <c r="B3" s="93"/>
      <c r="C3" s="93"/>
      <c r="D3" s="93"/>
      <c r="E3" s="93"/>
      <c r="F3" s="93"/>
      <c r="G3" s="93"/>
      <c r="H3" s="93"/>
      <c r="I3" s="112"/>
      <c r="J3" s="108"/>
      <c r="K3" s="108"/>
      <c r="L3" s="108"/>
      <c r="M3" s="103" t="s">
        <v>228</v>
      </c>
      <c r="N3" s="93"/>
      <c r="O3" s="93"/>
      <c r="S3" t="s">
        <v>250</v>
      </c>
      <c r="U3">
        <v>70.66</v>
      </c>
      <c r="AL3" s="11"/>
      <c r="AM3" s="11"/>
      <c r="AN3" s="6"/>
      <c r="AO3" s="6"/>
      <c r="AP3" s="6"/>
      <c r="AQ3" s="6"/>
    </row>
    <row r="4" spans="2:46">
      <c r="B4" s="24"/>
      <c r="C4" s="24"/>
      <c r="D4" s="24"/>
      <c r="E4" s="24"/>
      <c r="F4" s="24"/>
      <c r="G4" s="24"/>
      <c r="H4" s="24"/>
      <c r="I4" s="113"/>
      <c r="J4" s="109" t="s">
        <v>185</v>
      </c>
      <c r="K4" s="109"/>
      <c r="L4" s="109"/>
      <c r="M4" s="102">
        <f>Y24</f>
        <v>145.85</v>
      </c>
      <c r="N4" s="24"/>
      <c r="O4" s="24"/>
      <c r="Q4" t="s">
        <v>188</v>
      </c>
      <c r="W4" s="7">
        <v>18.36482641298322</v>
      </c>
      <c r="AL4" s="11"/>
      <c r="AM4" s="18"/>
      <c r="AN4" s="6"/>
      <c r="AO4" s="6"/>
      <c r="AP4" s="6"/>
      <c r="AQ4" s="6"/>
    </row>
    <row r="5" spans="2:46">
      <c r="B5" s="24" t="s">
        <v>25</v>
      </c>
      <c r="C5" s="24"/>
      <c r="D5" s="89">
        <f>12.5*D6</f>
        <v>100000</v>
      </c>
      <c r="E5" s="24" t="s">
        <v>191</v>
      </c>
      <c r="F5" s="24"/>
      <c r="G5" s="24"/>
      <c r="H5" s="24"/>
      <c r="I5" s="113"/>
      <c r="J5" s="109" t="s">
        <v>186</v>
      </c>
      <c r="K5" s="109"/>
      <c r="L5" s="109"/>
      <c r="M5" s="83">
        <f>0.4*M4</f>
        <v>58.34</v>
      </c>
      <c r="N5" s="24"/>
      <c r="O5" s="24"/>
      <c r="Q5" t="s">
        <v>236</v>
      </c>
      <c r="T5">
        <v>2</v>
      </c>
      <c r="U5" t="s">
        <v>242</v>
      </c>
      <c r="W5" s="7">
        <f>T5*7*(L26/D7)</f>
        <v>0</v>
      </c>
      <c r="AL5" s="11"/>
      <c r="AM5" s="11"/>
      <c r="AN5" s="6"/>
      <c r="AO5" s="6"/>
      <c r="AP5" s="6"/>
      <c r="AQ5" s="6"/>
    </row>
    <row r="6" spans="2:46">
      <c r="B6" s="109" t="s">
        <v>256</v>
      </c>
      <c r="C6" s="24"/>
      <c r="D6" s="24">
        <v>8000</v>
      </c>
      <c r="E6" s="24" t="s">
        <v>189</v>
      </c>
      <c r="F6" s="24"/>
      <c r="G6" s="24"/>
      <c r="H6" s="24"/>
      <c r="I6" s="113"/>
      <c r="J6" s="109" t="s">
        <v>277</v>
      </c>
      <c r="K6" s="109"/>
      <c r="L6" s="109"/>
      <c r="M6" s="83">
        <f>N6*(M4+M5)</f>
        <v>40.838000000000001</v>
      </c>
      <c r="N6" s="84">
        <v>0.2</v>
      </c>
      <c r="O6" s="24" t="s">
        <v>229</v>
      </c>
      <c r="Q6" t="s">
        <v>237</v>
      </c>
      <c r="T6">
        <v>2</v>
      </c>
      <c r="U6" t="s">
        <v>243</v>
      </c>
      <c r="W6" s="7">
        <f>T6*7*(L$69/D$7)</f>
        <v>3.4715712698502572</v>
      </c>
      <c r="AL6" s="22"/>
      <c r="AM6" s="11"/>
      <c r="AN6" s="6"/>
      <c r="AO6" s="6"/>
      <c r="AP6" s="6"/>
      <c r="AQ6" s="6"/>
    </row>
    <row r="7" spans="2:46">
      <c r="B7" s="109"/>
      <c r="C7" s="24"/>
      <c r="D7" s="85">
        <f>(D6/8760)*365</f>
        <v>333.33333333333331</v>
      </c>
      <c r="E7" s="24" t="s">
        <v>190</v>
      </c>
      <c r="F7" s="24"/>
      <c r="G7" s="24"/>
      <c r="H7" s="24"/>
      <c r="I7" s="113"/>
      <c r="J7" s="109" t="s">
        <v>119</v>
      </c>
      <c r="K7" s="109"/>
      <c r="L7" s="109"/>
      <c r="M7" s="104">
        <f>N7*(M4+M5)</f>
        <v>20.419</v>
      </c>
      <c r="N7" s="84">
        <v>0.1</v>
      </c>
      <c r="O7" s="24" t="s">
        <v>258</v>
      </c>
      <c r="Q7" t="s">
        <v>238</v>
      </c>
      <c r="T7">
        <v>1</v>
      </c>
      <c r="U7" t="s">
        <v>244</v>
      </c>
      <c r="W7" s="7">
        <f>T7*7*(L$69/D$7)</f>
        <v>1.7357856349251286</v>
      </c>
      <c r="AL7" s="20"/>
      <c r="AM7" s="11"/>
      <c r="AN7" s="6"/>
      <c r="AO7" s="6"/>
      <c r="AP7" s="6"/>
      <c r="AQ7" s="6"/>
    </row>
    <row r="8" spans="2:46">
      <c r="B8" s="109"/>
      <c r="C8" s="24"/>
      <c r="D8" s="92"/>
      <c r="E8" s="24"/>
      <c r="F8" s="24"/>
      <c r="G8" s="24"/>
      <c r="H8" s="24"/>
      <c r="I8" s="113"/>
      <c r="J8" s="109" t="s">
        <v>184</v>
      </c>
      <c r="K8" s="109"/>
      <c r="L8" s="109"/>
      <c r="M8" s="102">
        <f>M4*(1.4)*(1.3)</f>
        <v>265.44699999999995</v>
      </c>
      <c r="N8" s="24"/>
      <c r="O8" s="24"/>
      <c r="Q8" t="s">
        <v>239</v>
      </c>
      <c r="T8">
        <v>4</v>
      </c>
      <c r="U8" t="s">
        <v>244</v>
      </c>
      <c r="W8" s="7">
        <f>T8*7*(L$69/D$7)</f>
        <v>6.9431425397005144</v>
      </c>
      <c r="AL8" s="26"/>
      <c r="AM8" s="11"/>
      <c r="AN8" s="4"/>
      <c r="AP8" s="6"/>
      <c r="AQ8" s="6"/>
    </row>
    <row r="9" spans="2:46">
      <c r="B9" s="109"/>
      <c r="C9" s="127"/>
      <c r="D9" s="24"/>
      <c r="F9" s="24"/>
      <c r="G9" s="126"/>
      <c r="H9" s="24"/>
      <c r="I9" s="113"/>
      <c r="J9" s="109" t="s">
        <v>188</v>
      </c>
      <c r="K9" s="24"/>
      <c r="M9" s="83">
        <f>SUM($W$5:$W$10)</f>
        <v>21.135541984176413</v>
      </c>
      <c r="N9" s="24"/>
      <c r="O9" s="24"/>
      <c r="Q9" t="s">
        <v>240</v>
      </c>
      <c r="T9">
        <v>4</v>
      </c>
      <c r="U9" t="s">
        <v>244</v>
      </c>
      <c r="W9" s="7">
        <f>T9*7*(L$69/D$7)</f>
        <v>6.9431425397005144</v>
      </c>
      <c r="AL9" s="27"/>
      <c r="AM9" s="11"/>
      <c r="AN9" s="6"/>
      <c r="AO9" s="6"/>
      <c r="AP9" s="6"/>
      <c r="AQ9" s="6"/>
    </row>
    <row r="10" spans="2:46">
      <c r="B10" s="110"/>
      <c r="C10" s="92"/>
      <c r="E10" s="92"/>
      <c r="F10" s="92"/>
      <c r="G10" s="92"/>
      <c r="H10" s="92"/>
      <c r="I10" s="114"/>
      <c r="J10" s="110"/>
      <c r="K10" s="92"/>
      <c r="L10" s="92"/>
      <c r="M10" s="92"/>
      <c r="N10" s="92"/>
      <c r="O10" s="92"/>
      <c r="Q10" t="s">
        <v>241</v>
      </c>
      <c r="T10" s="8">
        <v>0.01</v>
      </c>
      <c r="U10" t="s">
        <v>229</v>
      </c>
      <c r="W10" s="7">
        <f>T10*(M4+M5)</f>
        <v>2.0419</v>
      </c>
      <c r="AL10" s="26"/>
      <c r="AM10" s="11"/>
      <c r="AN10" s="6"/>
      <c r="AO10" s="6"/>
      <c r="AP10" s="6"/>
      <c r="AQ10" s="6"/>
    </row>
    <row r="11" spans="2:46">
      <c r="B11" s="97" t="s">
        <v>193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AL11" s="27"/>
      <c r="AM11" s="11"/>
      <c r="AN11" s="4"/>
      <c r="AO11" s="6"/>
      <c r="AP11" s="6"/>
      <c r="AQ11" s="6"/>
    </row>
    <row r="12" spans="2:46">
      <c r="B12" s="121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AL12" s="26"/>
      <c r="AM12" s="11"/>
      <c r="AN12" s="6"/>
      <c r="AO12" s="6"/>
      <c r="AP12" s="6"/>
      <c r="AQ12" s="6"/>
    </row>
    <row r="13" spans="2:46">
      <c r="B13" s="122" t="s">
        <v>194</v>
      </c>
      <c r="C13" s="82"/>
      <c r="D13" s="87" t="s">
        <v>1</v>
      </c>
      <c r="E13" s="87"/>
      <c r="F13" s="88" t="s">
        <v>197</v>
      </c>
      <c r="G13" s="88"/>
      <c r="H13" s="106" t="s">
        <v>198</v>
      </c>
      <c r="I13" s="24"/>
      <c r="J13" s="105" t="s">
        <v>199</v>
      </c>
      <c r="K13" s="24"/>
      <c r="L13" s="87" t="s">
        <v>204</v>
      </c>
      <c r="M13" s="24"/>
      <c r="N13" s="105" t="s">
        <v>205</v>
      </c>
      <c r="O13" s="117"/>
      <c r="AL13" s="27"/>
      <c r="AM13" s="11"/>
      <c r="AN13" s="7"/>
      <c r="AO13" s="6"/>
      <c r="AP13" s="6"/>
      <c r="AQ13" s="6"/>
    </row>
    <row r="14" spans="2:46">
      <c r="B14" s="123" t="s">
        <v>25</v>
      </c>
      <c r="C14" s="24"/>
      <c r="D14" s="98" t="s">
        <v>196</v>
      </c>
      <c r="E14" s="24"/>
      <c r="F14" s="99">
        <v>1</v>
      </c>
      <c r="G14" s="24"/>
      <c r="H14" s="125">
        <f>D5</f>
        <v>100000</v>
      </c>
      <c r="I14" s="24"/>
      <c r="J14" s="85">
        <f>N72</f>
        <v>1096.9282208143736</v>
      </c>
      <c r="K14" s="24"/>
      <c r="L14" s="101">
        <f>(J14*D5)/10^6</f>
        <v>109.69282208143737</v>
      </c>
      <c r="M14" s="99"/>
      <c r="N14" s="101">
        <f>(L14*10^6)/D5</f>
        <v>1096.9282208143736</v>
      </c>
      <c r="O14" s="85"/>
      <c r="AL14" s="20"/>
      <c r="AN14" s="6"/>
      <c r="AO14" s="6"/>
      <c r="AP14" s="6"/>
      <c r="AQ14" s="6"/>
    </row>
    <row r="15" spans="2:46">
      <c r="B15" s="135" t="s">
        <v>195</v>
      </c>
      <c r="C15" s="24"/>
      <c r="D15" s="94" t="s">
        <v>196</v>
      </c>
      <c r="E15" s="24"/>
      <c r="F15" s="93">
        <v>1</v>
      </c>
      <c r="G15" s="24"/>
      <c r="H15" s="119">
        <f>D5</f>
        <v>100000</v>
      </c>
      <c r="I15" s="24"/>
      <c r="J15" s="85"/>
      <c r="K15" s="24"/>
      <c r="L15" s="100">
        <f>L14</f>
        <v>109.69282208143737</v>
      </c>
      <c r="M15" s="93"/>
      <c r="N15" s="100">
        <f>N14</f>
        <v>1096.9282208143736</v>
      </c>
      <c r="O15" s="100"/>
      <c r="Q15" s="22" t="s">
        <v>58</v>
      </c>
      <c r="AL15" s="19"/>
      <c r="AM15" s="11"/>
      <c r="AN15" s="6"/>
      <c r="AO15" s="6"/>
      <c r="AP15" s="6"/>
      <c r="AQ15" s="6"/>
    </row>
    <row r="16" spans="2:46">
      <c r="B16" s="109"/>
      <c r="C16" s="24"/>
      <c r="D16" s="8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11" t="s">
        <v>56</v>
      </c>
      <c r="S16">
        <v>18</v>
      </c>
      <c r="AL16" s="19"/>
      <c r="AM16" s="11"/>
      <c r="AN16" s="6"/>
      <c r="AO16" s="6"/>
      <c r="AP16" s="6"/>
      <c r="AQ16" s="6"/>
    </row>
    <row r="17" spans="2:46">
      <c r="B17" s="124" t="s">
        <v>207</v>
      </c>
      <c r="C17" s="24"/>
      <c r="D17" s="8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11" t="s">
        <v>55</v>
      </c>
      <c r="S17" s="7">
        <f>(6.29+0.23*S16)^0.5</f>
        <v>3.2295510523910287</v>
      </c>
      <c r="AL17" s="19"/>
      <c r="AM17" s="11"/>
      <c r="AN17" s="6"/>
      <c r="AO17" s="6"/>
      <c r="AP17" s="6"/>
      <c r="AQ17" s="6"/>
    </row>
    <row r="18" spans="2:46">
      <c r="B18" s="132" t="s">
        <v>287</v>
      </c>
      <c r="C18" s="92"/>
      <c r="D18" s="130" t="s">
        <v>196</v>
      </c>
      <c r="E18" s="92"/>
      <c r="F18" s="115">
        <f>H18/D5</f>
        <v>2080</v>
      </c>
      <c r="G18" s="115"/>
      <c r="H18" s="133">
        <f>26000*D6</f>
        <v>208000000</v>
      </c>
      <c r="I18" s="92"/>
      <c r="J18" s="115">
        <v>0</v>
      </c>
      <c r="K18" s="92"/>
      <c r="L18" s="115">
        <f>(J18*H18)/10^6</f>
        <v>0</v>
      </c>
      <c r="M18" s="92"/>
      <c r="N18" s="115">
        <f>(L18*10^6)/D$5</f>
        <v>0</v>
      </c>
      <c r="O18" s="115"/>
      <c r="Q18" s="11" t="s">
        <v>31</v>
      </c>
      <c r="S18" s="6">
        <f>4.5*S17</f>
        <v>14.532979735759628</v>
      </c>
      <c r="AL18" s="2"/>
    </row>
    <row r="19" spans="2:46">
      <c r="B19" s="86" t="s">
        <v>289</v>
      </c>
      <c r="C19" s="24"/>
      <c r="D19" s="98" t="s">
        <v>196</v>
      </c>
      <c r="E19" s="24"/>
      <c r="F19" s="101">
        <f>F31</f>
        <v>14.713343480466767</v>
      </c>
      <c r="G19" s="24"/>
      <c r="H19" s="101">
        <f>F19*D5</f>
        <v>1471334.3480466767</v>
      </c>
      <c r="I19" s="24"/>
      <c r="J19" s="85">
        <v>0</v>
      </c>
      <c r="K19" s="24"/>
      <c r="L19" s="101">
        <f>(J19*H19)/10^6</f>
        <v>0</v>
      </c>
      <c r="M19" s="99"/>
      <c r="N19" s="101">
        <f>(L19*10^6)/D$5</f>
        <v>0</v>
      </c>
      <c r="O19" s="24"/>
      <c r="Q19" s="11" t="s">
        <v>57</v>
      </c>
      <c r="S19">
        <v>25000</v>
      </c>
      <c r="AL19" s="11"/>
      <c r="AM19" s="11"/>
      <c r="AN19" s="6"/>
      <c r="AO19" s="6"/>
      <c r="AP19" s="6"/>
      <c r="AQ19" s="6"/>
      <c r="AT19" s="2"/>
    </row>
    <row r="20" spans="2:46">
      <c r="B20" s="134" t="s">
        <v>235</v>
      </c>
      <c r="C20" s="24"/>
      <c r="D20" s="94" t="s">
        <v>196</v>
      </c>
      <c r="E20" s="24"/>
      <c r="F20" s="100">
        <v>0.2</v>
      </c>
      <c r="G20" s="85"/>
      <c r="H20" s="100">
        <f>F20*D5</f>
        <v>20000</v>
      </c>
      <c r="I20" s="24"/>
      <c r="J20" s="85"/>
      <c r="K20" s="24"/>
      <c r="L20" s="100">
        <f>L18</f>
        <v>0</v>
      </c>
      <c r="M20" s="93"/>
      <c r="N20" s="100">
        <f>N18</f>
        <v>0</v>
      </c>
      <c r="O20" s="85"/>
      <c r="AL20" s="11"/>
      <c r="AM20" s="11"/>
      <c r="AN20" s="7"/>
      <c r="AO20" s="7"/>
      <c r="AP20" s="7"/>
      <c r="AQ20" s="7"/>
      <c r="AR20" s="6"/>
      <c r="AS20" s="6"/>
    </row>
    <row r="21" spans="2:46">
      <c r="B21" s="109"/>
      <c r="C21" s="24"/>
      <c r="D21" s="8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93"/>
      <c r="AL21" s="2"/>
      <c r="AN21" s="7"/>
      <c r="AO21" s="7"/>
      <c r="AP21" s="7"/>
      <c r="AQ21" s="7"/>
    </row>
    <row r="22" spans="2:46">
      <c r="B22" s="124" t="s">
        <v>208</v>
      </c>
      <c r="C22" s="24"/>
      <c r="D22" s="82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Q22" s="11" t="s">
        <v>355</v>
      </c>
      <c r="AL22" s="20"/>
      <c r="AM22" s="11"/>
      <c r="AN22" s="7"/>
      <c r="AO22" s="7"/>
      <c r="AP22" s="7"/>
      <c r="AQ22" s="7"/>
      <c r="AR22" s="6"/>
    </row>
    <row r="23" spans="2:46">
      <c r="B23" s="123" t="s">
        <v>288</v>
      </c>
      <c r="C23" s="24"/>
      <c r="D23" s="98" t="s">
        <v>196</v>
      </c>
      <c r="E23" s="24"/>
      <c r="F23" s="101">
        <f>H23/D5</f>
        <v>2080</v>
      </c>
      <c r="G23" s="85"/>
      <c r="H23" s="125">
        <f>26000*D6</f>
        <v>208000000</v>
      </c>
      <c r="I23" s="24"/>
      <c r="J23" s="85">
        <f>0</f>
        <v>0</v>
      </c>
      <c r="K23" s="24"/>
      <c r="L23" s="101">
        <f>(J23/10^6)*H23</f>
        <v>0</v>
      </c>
      <c r="M23" s="99"/>
      <c r="N23" s="101">
        <f>(L23*10^6)/D5</f>
        <v>0</v>
      </c>
      <c r="O23" s="85"/>
      <c r="Q23" t="s">
        <v>266</v>
      </c>
      <c r="S23" t="s">
        <v>64</v>
      </c>
      <c r="T23" t="s">
        <v>267</v>
      </c>
      <c r="U23" t="s">
        <v>268</v>
      </c>
      <c r="V23" t="s">
        <v>269</v>
      </c>
      <c r="W23" t="s">
        <v>292</v>
      </c>
      <c r="X23" t="s">
        <v>270</v>
      </c>
      <c r="Y23" t="s">
        <v>12</v>
      </c>
      <c r="AL23" s="19"/>
      <c r="AM23" s="17"/>
      <c r="AN23" s="7"/>
      <c r="AO23" s="7"/>
      <c r="AP23" s="7"/>
      <c r="AQ23" s="7"/>
      <c r="AR23" s="6"/>
      <c r="AT23" s="2"/>
    </row>
    <row r="24" spans="2:46">
      <c r="B24" s="109"/>
      <c r="C24" s="24" t="s">
        <v>254</v>
      </c>
      <c r="D24" s="24"/>
      <c r="E24" s="24"/>
      <c r="F24" s="24"/>
      <c r="G24" s="24"/>
      <c r="H24" s="24"/>
      <c r="I24" s="24"/>
      <c r="J24" s="24"/>
      <c r="K24" s="24"/>
      <c r="L24" s="85">
        <f>L23</f>
        <v>0</v>
      </c>
      <c r="M24" s="24"/>
      <c r="N24" s="85">
        <f>N23</f>
        <v>0</v>
      </c>
      <c r="O24" s="24"/>
      <c r="Q24" t="s">
        <v>275</v>
      </c>
      <c r="S24" s="7">
        <v>14.3</v>
      </c>
      <c r="T24" s="7">
        <v>20.36</v>
      </c>
      <c r="U24" s="7">
        <v>23.3</v>
      </c>
      <c r="V24" s="7">
        <v>0.87</v>
      </c>
      <c r="W24" s="7">
        <v>1.62</v>
      </c>
      <c r="X24" s="7">
        <v>85.4</v>
      </c>
      <c r="Y24" s="7">
        <f>SUM(S24:X24)</f>
        <v>145.85</v>
      </c>
      <c r="AL24" s="19"/>
      <c r="AM24" s="17"/>
      <c r="AN24" s="7"/>
      <c r="AO24" s="7"/>
      <c r="AP24" s="7"/>
      <c r="AQ24" s="7"/>
      <c r="AR24" s="6"/>
    </row>
    <row r="25" spans="2:46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t="s">
        <v>182</v>
      </c>
      <c r="S25" s="7">
        <f t="shared" ref="S25:X25" si="0">S24*$Z$36</f>
        <v>45.760000000000005</v>
      </c>
      <c r="T25" s="7">
        <f t="shared" si="0"/>
        <v>65.152000000000001</v>
      </c>
      <c r="U25" s="7">
        <f t="shared" si="0"/>
        <v>74.56</v>
      </c>
      <c r="V25" s="7">
        <f t="shared" si="0"/>
        <v>2.7840000000000003</v>
      </c>
      <c r="W25" s="7">
        <f t="shared" si="0"/>
        <v>5.1840000000000011</v>
      </c>
      <c r="X25" s="7">
        <f t="shared" si="0"/>
        <v>273.28000000000003</v>
      </c>
      <c r="Y25" s="7">
        <f>SUM(S25:X25)</f>
        <v>466.72</v>
      </c>
      <c r="AL25" s="19"/>
      <c r="AM25" s="17"/>
      <c r="AN25" s="7"/>
      <c r="AO25" s="7"/>
      <c r="AP25" s="7"/>
      <c r="AQ25" s="7"/>
      <c r="AR25" s="6"/>
    </row>
    <row r="26" spans="2:46">
      <c r="B26" s="108"/>
      <c r="C26" s="93"/>
      <c r="D26" s="93"/>
      <c r="E26" s="93"/>
      <c r="F26" s="100"/>
      <c r="G26" s="100"/>
      <c r="H26" s="93" t="s">
        <v>253</v>
      </c>
      <c r="I26" s="93"/>
      <c r="J26" s="93"/>
      <c r="K26" s="93"/>
      <c r="L26" s="100">
        <f>L24</f>
        <v>0</v>
      </c>
      <c r="M26" s="93"/>
      <c r="N26" s="100">
        <f>N24</f>
        <v>0</v>
      </c>
      <c r="O26" s="100"/>
      <c r="Q26" t="s">
        <v>276</v>
      </c>
      <c r="S26" s="7">
        <f t="shared" ref="S26:X26" si="1">$Z$40*S25</f>
        <v>83.283200000000008</v>
      </c>
      <c r="T26" s="7">
        <f t="shared" si="1"/>
        <v>118.57664</v>
      </c>
      <c r="U26" s="7">
        <f t="shared" si="1"/>
        <v>135.69919999999999</v>
      </c>
      <c r="V26" s="7">
        <f t="shared" si="1"/>
        <v>5.0668800000000003</v>
      </c>
      <c r="W26" s="7">
        <f t="shared" si="1"/>
        <v>9.4348800000000015</v>
      </c>
      <c r="X26" s="7">
        <f t="shared" si="1"/>
        <v>497.36959999999999</v>
      </c>
      <c r="Y26" s="7">
        <f>SUM(S26:X26)</f>
        <v>849.43039999999996</v>
      </c>
      <c r="AL26" s="11"/>
      <c r="AM26" s="17"/>
      <c r="AN26" s="7"/>
      <c r="AO26" s="7"/>
      <c r="AP26" s="7"/>
      <c r="AQ26" s="7"/>
      <c r="AR26" s="6"/>
    </row>
    <row r="27" spans="2:46">
      <c r="B27" s="110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AL27" s="11"/>
      <c r="AM27" s="11"/>
      <c r="AN27" s="7"/>
      <c r="AR27" s="6"/>
    </row>
    <row r="28" spans="2:46">
      <c r="B28" s="97" t="s">
        <v>200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AL28" s="19"/>
      <c r="AM28" s="17"/>
      <c r="AN28" s="6"/>
      <c r="AO28" s="7"/>
      <c r="AP28" s="7"/>
      <c r="AQ28" s="7"/>
      <c r="AR28" s="6"/>
      <c r="AS28" s="6"/>
      <c r="AT28" s="2"/>
    </row>
    <row r="29" spans="2:46">
      <c r="B29" s="108"/>
      <c r="C29" s="93"/>
      <c r="D29" s="96" t="s">
        <v>1</v>
      </c>
      <c r="E29" s="96"/>
      <c r="F29" s="96" t="s">
        <v>197</v>
      </c>
      <c r="G29" s="96"/>
      <c r="H29" s="96" t="s">
        <v>198</v>
      </c>
      <c r="I29" s="94"/>
      <c r="J29" s="118" t="s">
        <v>199</v>
      </c>
      <c r="K29" s="94"/>
      <c r="L29" s="96" t="s">
        <v>204</v>
      </c>
      <c r="M29" s="94"/>
      <c r="N29" s="96" t="s">
        <v>205</v>
      </c>
      <c r="O29" s="96"/>
      <c r="W29" s="11" t="s">
        <v>168</v>
      </c>
      <c r="Z29">
        <v>0.3</v>
      </c>
      <c r="AL29" s="19"/>
      <c r="AM29" s="17"/>
      <c r="AO29" s="7"/>
      <c r="AP29" s="7"/>
      <c r="AQ29" s="7"/>
    </row>
    <row r="30" spans="2:46">
      <c r="B30" s="109" t="s">
        <v>309</v>
      </c>
      <c r="C30" s="92"/>
      <c r="D30" s="130" t="s">
        <v>196</v>
      </c>
      <c r="E30" s="92"/>
      <c r="F30" s="115">
        <f>H30/D5</f>
        <v>0.33600000000000002</v>
      </c>
      <c r="G30" s="115"/>
      <c r="H30" s="115">
        <f>4.2*D6</f>
        <v>33600</v>
      </c>
      <c r="I30" s="115"/>
      <c r="J30" s="115">
        <f>'NH3'!N72</f>
        <v>1239.1772127025574</v>
      </c>
      <c r="K30" s="115"/>
      <c r="L30" s="115">
        <f>(J30*H30)/10^6</f>
        <v>41.636354346805931</v>
      </c>
      <c r="M30" s="115"/>
      <c r="N30" s="115">
        <f>(L30*10^6)/$D$5</f>
        <v>416.36354346805928</v>
      </c>
      <c r="O30" s="115"/>
      <c r="W30" s="11" t="s">
        <v>169</v>
      </c>
      <c r="Z30">
        <v>0.8</v>
      </c>
      <c r="AL30" s="11"/>
      <c r="AM30" s="11"/>
      <c r="AN30" s="7"/>
      <c r="AO30" s="6"/>
      <c r="AP30" s="6"/>
      <c r="AQ30" s="6"/>
      <c r="AR30" s="6"/>
    </row>
    <row r="31" spans="2:46">
      <c r="B31" t="s">
        <v>290</v>
      </c>
      <c r="C31" s="24"/>
      <c r="D31" s="98" t="s">
        <v>196</v>
      </c>
      <c r="E31" s="24"/>
      <c r="F31" s="101">
        <f>H31/D5</f>
        <v>14.713343480466767</v>
      </c>
      <c r="G31" s="24"/>
      <c r="H31" s="101">
        <f>AB58*D6</f>
        <v>1471334.3480466767</v>
      </c>
      <c r="I31" s="24"/>
      <c r="J31" s="24">
        <f>Summary!B30</f>
        <v>0.2</v>
      </c>
      <c r="K31" s="24"/>
      <c r="L31" s="101">
        <f>(J31*H31)/10^6</f>
        <v>0.2942668696093354</v>
      </c>
      <c r="M31" s="99"/>
      <c r="N31" s="101">
        <f>(L31*10^6)/D5</f>
        <v>2.9426686960933539</v>
      </c>
      <c r="O31" s="24"/>
      <c r="W31" s="11" t="s">
        <v>170</v>
      </c>
      <c r="Z31">
        <v>0.3</v>
      </c>
      <c r="AR31" s="6"/>
      <c r="AS31" s="6"/>
    </row>
    <row r="32" spans="2:46">
      <c r="B32" s="109"/>
      <c r="C32" s="93" t="s">
        <v>203</v>
      </c>
      <c r="D32" s="93"/>
      <c r="E32" s="93"/>
      <c r="F32" s="93"/>
      <c r="G32" s="93"/>
      <c r="H32" s="93"/>
      <c r="I32" s="93"/>
      <c r="J32" s="93"/>
      <c r="K32" s="93"/>
      <c r="L32" s="100">
        <f>SUM(L30:L30)</f>
        <v>41.636354346805931</v>
      </c>
      <c r="M32" s="93"/>
      <c r="N32" s="100">
        <f>SUM(N30:N30)</f>
        <v>416.36354346805928</v>
      </c>
      <c r="O32" s="100"/>
      <c r="W32" s="11" t="s">
        <v>171</v>
      </c>
      <c r="Z32">
        <v>0.2</v>
      </c>
      <c r="AO32" s="7"/>
      <c r="AP32" s="7"/>
      <c r="AQ32" s="7"/>
    </row>
    <row r="33" spans="2:4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W33" s="11" t="s">
        <v>172</v>
      </c>
      <c r="Z33">
        <v>0.3</v>
      </c>
      <c r="AL33" s="11"/>
      <c r="AM33" s="11"/>
      <c r="AQ33" s="6"/>
    </row>
    <row r="34" spans="2:45">
      <c r="B34" s="97" t="s">
        <v>206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W34" s="11" t="s">
        <v>173</v>
      </c>
      <c r="Z34">
        <v>0.2</v>
      </c>
      <c r="AL34" s="2"/>
      <c r="AM34" s="11"/>
      <c r="AR34" s="6"/>
      <c r="AS34" s="6"/>
    </row>
    <row r="35" spans="2:45">
      <c r="B35" s="93"/>
      <c r="C35" s="93"/>
      <c r="D35" s="96" t="s">
        <v>1</v>
      </c>
      <c r="E35" s="96"/>
      <c r="F35" s="96" t="s">
        <v>197</v>
      </c>
      <c r="G35" s="96"/>
      <c r="H35" s="96" t="s">
        <v>198</v>
      </c>
      <c r="I35" s="94"/>
      <c r="J35" s="118" t="s">
        <v>199</v>
      </c>
      <c r="K35" s="94"/>
      <c r="L35" s="96" t="s">
        <v>204</v>
      </c>
      <c r="M35" s="94"/>
      <c r="N35" s="96" t="s">
        <v>205</v>
      </c>
      <c r="O35" s="96"/>
      <c r="W35" s="11" t="s">
        <v>174</v>
      </c>
      <c r="Z35">
        <v>0.1</v>
      </c>
      <c r="AL35" s="11"/>
      <c r="AM35" s="16"/>
      <c r="AN35" s="7"/>
      <c r="AO35" s="7"/>
      <c r="AP35" s="7"/>
      <c r="AQ35" s="7"/>
      <c r="AR35" s="7"/>
      <c r="AS35" s="7"/>
    </row>
    <row r="36" spans="2:45">
      <c r="B36" s="92" t="s">
        <v>30</v>
      </c>
      <c r="C36" s="92"/>
      <c r="D36" s="130" t="s">
        <v>29</v>
      </c>
      <c r="E36" s="92"/>
      <c r="F36" s="115">
        <f>H36/D5</f>
        <v>0.13792220202647121</v>
      </c>
      <c r="G36" s="92"/>
      <c r="H36" s="115">
        <f>Y69*D6</f>
        <v>13792.22020264712</v>
      </c>
      <c r="I36" s="92"/>
      <c r="J36" s="115">
        <f>Summary!B28*1000</f>
        <v>50</v>
      </c>
      <c r="K36" s="92"/>
      <c r="L36" s="115">
        <f>(J36*H36)/10^6</f>
        <v>0.68961101013235604</v>
      </c>
      <c r="M36" s="92"/>
      <c r="N36" s="115">
        <f>(L36*10^6)/$D$5</f>
        <v>6.8961101013235604</v>
      </c>
      <c r="O36" s="115"/>
      <c r="W36" t="s">
        <v>175</v>
      </c>
      <c r="Z36">
        <f>1+SUM(Z29:Z35)</f>
        <v>3.2</v>
      </c>
      <c r="AA36">
        <f>SUM(Z29:Z35)</f>
        <v>2.2000000000000002</v>
      </c>
      <c r="AL36" s="11"/>
      <c r="AN36" s="6"/>
      <c r="AO36" s="6"/>
      <c r="AP36" s="6"/>
      <c r="AQ36" s="6"/>
      <c r="AR36" s="6"/>
      <c r="AS36" s="6"/>
    </row>
    <row r="37" spans="2:45">
      <c r="B37" s="24" t="s">
        <v>291</v>
      </c>
      <c r="C37" s="24"/>
      <c r="D37" s="82" t="s">
        <v>29</v>
      </c>
      <c r="E37" s="24"/>
      <c r="F37" s="85">
        <f>H37/D5</f>
        <v>5.6</v>
      </c>
      <c r="G37" s="24"/>
      <c r="H37" s="85">
        <f>70*D6</f>
        <v>560000</v>
      </c>
      <c r="I37" s="24"/>
      <c r="J37" s="85">
        <f>Summary!B29*1000</f>
        <v>49.59</v>
      </c>
      <c r="K37" s="24"/>
      <c r="L37" s="85">
        <f>(J37*H37)/10^6</f>
        <v>27.770400000000002</v>
      </c>
      <c r="M37" s="24"/>
      <c r="N37" s="85">
        <f>(L37*10^6)/D5</f>
        <v>277.70400000000006</v>
      </c>
      <c r="O37" s="24"/>
      <c r="W37" s="11" t="s">
        <v>178</v>
      </c>
      <c r="Z37">
        <v>0.4</v>
      </c>
      <c r="AL37" s="2"/>
    </row>
    <row r="38" spans="2:45">
      <c r="B38" s="24" t="s">
        <v>299</v>
      </c>
      <c r="C38" s="24"/>
      <c r="D38" s="98" t="s">
        <v>196</v>
      </c>
      <c r="E38" s="24"/>
      <c r="F38" s="101">
        <f>H38/D5</f>
        <v>109.58904109589041</v>
      </c>
      <c r="G38" s="24"/>
      <c r="H38" s="99">
        <f>Y58*D6</f>
        <v>10958904.10958904</v>
      </c>
      <c r="I38" s="24"/>
      <c r="J38" s="24">
        <f>Summary!B30</f>
        <v>0.2</v>
      </c>
      <c r="K38" s="24"/>
      <c r="L38" s="101">
        <f>(J38*H38)/10^6</f>
        <v>2.1917808219178081</v>
      </c>
      <c r="M38" s="99"/>
      <c r="N38" s="101">
        <f>(L38*10^6)/D5</f>
        <v>21.917808219178081</v>
      </c>
      <c r="O38" s="24"/>
      <c r="W38" s="11" t="s">
        <v>177</v>
      </c>
      <c r="Z38">
        <v>0.2</v>
      </c>
      <c r="AL38" s="11"/>
      <c r="AM38" s="11"/>
      <c r="AN38" s="6"/>
      <c r="AO38" s="6"/>
      <c r="AP38" s="6"/>
      <c r="AQ38" s="6"/>
      <c r="AR38" s="4"/>
      <c r="AS38" s="4"/>
    </row>
    <row r="39" spans="2:45">
      <c r="B39" s="93"/>
      <c r="C39" s="93" t="s">
        <v>209</v>
      </c>
      <c r="D39" s="94"/>
      <c r="E39" s="93"/>
      <c r="F39" s="93"/>
      <c r="G39" s="93"/>
      <c r="H39" s="93"/>
      <c r="I39" s="93"/>
      <c r="J39" s="93"/>
      <c r="K39" s="93"/>
      <c r="L39" s="100">
        <f>SUM(L36:L37)</f>
        <v>28.460011010132359</v>
      </c>
      <c r="M39" s="93"/>
      <c r="N39" s="100">
        <f>SUM(N36:N37)</f>
        <v>284.60011010132365</v>
      </c>
      <c r="O39" s="100"/>
      <c r="W39" s="11" t="s">
        <v>176</v>
      </c>
      <c r="Z39">
        <v>0.1</v>
      </c>
      <c r="AL39" s="11"/>
      <c r="AM39" s="11"/>
      <c r="AN39" s="6"/>
      <c r="AO39" s="6"/>
      <c r="AP39" s="6"/>
      <c r="AQ39" s="6"/>
      <c r="AR39" s="4"/>
      <c r="AS39" s="4"/>
    </row>
    <row r="40" spans="2:4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W40" s="11" t="s">
        <v>167</v>
      </c>
      <c r="Z40">
        <f>(1+Z37)*(1+Z38+Z39)</f>
        <v>1.8199999999999998</v>
      </c>
      <c r="AL40" s="11"/>
      <c r="AN40" s="6"/>
      <c r="AO40" s="6"/>
      <c r="AP40" s="6"/>
      <c r="AQ40" s="7"/>
      <c r="AR40" s="2"/>
    </row>
    <row r="41" spans="2:45">
      <c r="B41" s="24"/>
      <c r="C41" s="24"/>
      <c r="D41" s="24"/>
      <c r="E41" s="24"/>
      <c r="F41" s="24" t="s">
        <v>210</v>
      </c>
      <c r="G41" s="24"/>
      <c r="H41" s="24"/>
      <c r="I41" s="24"/>
      <c r="J41" s="24"/>
      <c r="K41" s="24"/>
      <c r="L41" s="85">
        <f>L24-L20+L32+L39</f>
        <v>70.096365356938293</v>
      </c>
      <c r="M41" s="24"/>
      <c r="N41" s="85">
        <f>N24-N20+N32+N39</f>
        <v>700.96365356938293</v>
      </c>
      <c r="O41" s="85"/>
      <c r="AL41" s="11"/>
      <c r="AN41" s="6"/>
      <c r="AR41" s="6"/>
      <c r="AS41" s="6"/>
    </row>
    <row r="42" spans="2:45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AL42" s="2"/>
      <c r="AM42" s="11"/>
      <c r="AN42" s="6"/>
      <c r="AO42" s="6"/>
      <c r="AP42" s="6"/>
      <c r="AQ42" s="6"/>
      <c r="AR42" s="6"/>
      <c r="AS42" s="6"/>
    </row>
    <row r="43" spans="2:45">
      <c r="B43" s="97" t="s">
        <v>211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2:4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6" t="s">
        <v>204</v>
      </c>
      <c r="M44" s="94"/>
      <c r="N44" s="96" t="s">
        <v>205</v>
      </c>
      <c r="O44" s="96"/>
      <c r="W44" t="s">
        <v>179</v>
      </c>
      <c r="Z44">
        <f>(1+Z30)+(Z29+Z32+Z31+Z33+Z34+Z35)</f>
        <v>3.2</v>
      </c>
    </row>
    <row r="45" spans="2:45">
      <c r="B45" s="24" t="s">
        <v>31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W45" t="s">
        <v>180</v>
      </c>
    </row>
    <row r="46" spans="2:45">
      <c r="B46" s="24"/>
      <c r="C46" s="24"/>
      <c r="D46" s="24">
        <v>4.8</v>
      </c>
      <c r="E46" s="24"/>
      <c r="F46" s="24" t="s">
        <v>212</v>
      </c>
      <c r="G46" s="24"/>
      <c r="H46" s="24"/>
      <c r="I46" s="24"/>
      <c r="J46" s="24"/>
      <c r="K46" s="24"/>
      <c r="L46" s="24"/>
      <c r="M46" s="24"/>
      <c r="N46" s="24"/>
      <c r="O46" s="24"/>
    </row>
    <row r="47" spans="2:45">
      <c r="B47" s="86" t="s">
        <v>213</v>
      </c>
      <c r="C47" s="24"/>
      <c r="D47" s="89">
        <f>S17</f>
        <v>3.2295510523910287</v>
      </c>
      <c r="E47" s="24"/>
      <c r="F47" s="24"/>
      <c r="G47" s="24"/>
      <c r="H47" s="24"/>
      <c r="I47" s="89">
        <f>S19</f>
        <v>25000</v>
      </c>
      <c r="J47" s="24" t="s">
        <v>216</v>
      </c>
      <c r="K47" s="24"/>
      <c r="L47" s="120">
        <f>(D47*D46*I47)/10^6</f>
        <v>0.38754612628692342</v>
      </c>
      <c r="M47" s="24"/>
      <c r="N47" s="85">
        <f>(L47*10^6)/$D$5</f>
        <v>3.875461262869234</v>
      </c>
      <c r="O47" s="85"/>
    </row>
    <row r="48" spans="2:45">
      <c r="B48" s="24" t="s">
        <v>214</v>
      </c>
      <c r="C48" s="24"/>
      <c r="D48" s="24"/>
      <c r="E48" s="24"/>
      <c r="F48" s="24"/>
      <c r="G48" s="24"/>
      <c r="H48" s="24"/>
      <c r="I48" s="84">
        <v>0.25</v>
      </c>
      <c r="J48" s="24" t="s">
        <v>217</v>
      </c>
      <c r="K48" s="24"/>
      <c r="L48" s="85">
        <f>I48*L47</f>
        <v>9.6886531571730855E-2</v>
      </c>
      <c r="M48" s="24"/>
      <c r="N48" s="85">
        <f>(L48*10^6)/$D$5</f>
        <v>0.9688653157173085</v>
      </c>
      <c r="O48" s="85"/>
    </row>
    <row r="49" spans="2:28">
      <c r="B49" s="24" t="s">
        <v>215</v>
      </c>
      <c r="C49" s="24"/>
      <c r="D49" s="24"/>
      <c r="E49" s="24"/>
      <c r="F49" s="24"/>
      <c r="G49" s="24"/>
      <c r="H49" s="24"/>
      <c r="I49" s="84">
        <v>0.45</v>
      </c>
      <c r="J49" s="24" t="s">
        <v>218</v>
      </c>
      <c r="K49" s="24"/>
      <c r="L49" s="85">
        <f>I49*(L47+L48)</f>
        <v>0.21799469603639443</v>
      </c>
      <c r="M49" s="24"/>
      <c r="N49" s="85">
        <f>(L49*10^6)/$D$5</f>
        <v>2.1799469603639441</v>
      </c>
      <c r="O49" s="85"/>
    </row>
    <row r="50" spans="2:28">
      <c r="B50" s="24" t="s">
        <v>15</v>
      </c>
      <c r="C50" s="24"/>
      <c r="D50" s="24"/>
      <c r="E50" s="24"/>
      <c r="F50" s="24"/>
      <c r="G50" s="24"/>
      <c r="H50" s="24"/>
      <c r="I50" s="84">
        <v>0.03</v>
      </c>
      <c r="J50" s="24" t="s">
        <v>219</v>
      </c>
      <c r="K50" s="24"/>
      <c r="L50" s="85">
        <f>I50*M4</f>
        <v>4.3754999999999997</v>
      </c>
      <c r="M50" s="24"/>
      <c r="N50" s="85">
        <f>(L50*10^6)/$D$5</f>
        <v>43.755000000000003</v>
      </c>
      <c r="O50" s="85"/>
    </row>
    <row r="51" spans="2:28">
      <c r="B51" s="24" t="s">
        <v>220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85"/>
      <c r="O51" s="85"/>
    </row>
    <row r="52" spans="2:28">
      <c r="B52" s="86" t="s">
        <v>221</v>
      </c>
      <c r="C52" s="24"/>
      <c r="D52" s="24"/>
      <c r="E52" s="24"/>
      <c r="F52" s="24"/>
      <c r="G52" s="24"/>
      <c r="H52" s="24"/>
      <c r="I52" s="84">
        <v>0.65</v>
      </c>
      <c r="J52" s="24" t="s">
        <v>224</v>
      </c>
      <c r="K52" s="24"/>
      <c r="L52" s="85">
        <f>0.65*(L47+L50)</f>
        <v>3.0959799820865004</v>
      </c>
      <c r="M52" s="24"/>
      <c r="N52" s="85">
        <f>(L52*10^6)/$D$5</f>
        <v>30.959799820865001</v>
      </c>
      <c r="O52" s="85"/>
    </row>
    <row r="53" spans="2:28">
      <c r="B53" s="86" t="s">
        <v>222</v>
      </c>
      <c r="C53" s="24"/>
      <c r="D53" s="24"/>
      <c r="E53" s="24"/>
      <c r="F53" s="24"/>
      <c r="G53" s="24"/>
      <c r="H53" s="24"/>
      <c r="I53" s="84">
        <v>0.02</v>
      </c>
      <c r="J53" s="24" t="s">
        <v>311</v>
      </c>
      <c r="K53" s="24"/>
      <c r="L53" s="85">
        <f>I53*M4</f>
        <v>2.9169999999999998</v>
      </c>
      <c r="M53" s="24"/>
      <c r="N53" s="85">
        <f>(L53*10^6)/$D$5</f>
        <v>29.17</v>
      </c>
      <c r="O53" s="85"/>
      <c r="W53" t="s">
        <v>293</v>
      </c>
      <c r="Z53" t="s">
        <v>300</v>
      </c>
    </row>
    <row r="54" spans="2:28">
      <c r="B54" s="24" t="s">
        <v>223</v>
      </c>
      <c r="C54" s="24"/>
      <c r="D54" s="24"/>
      <c r="E54" s="24"/>
      <c r="F54" s="24"/>
      <c r="G54" s="24"/>
      <c r="H54" s="24"/>
      <c r="I54" s="84">
        <v>0</v>
      </c>
      <c r="J54" s="24" t="s">
        <v>225</v>
      </c>
      <c r="K54" s="24"/>
      <c r="L54" s="85">
        <f>I54*M8</f>
        <v>0</v>
      </c>
      <c r="M54" s="24"/>
      <c r="N54" s="85">
        <f>(L54*10^6)/$D$5</f>
        <v>0</v>
      </c>
      <c r="O54" s="115"/>
      <c r="W54" t="s">
        <v>297</v>
      </c>
      <c r="Y54">
        <v>7884</v>
      </c>
    </row>
    <row r="55" spans="2:28">
      <c r="B55" s="24"/>
      <c r="C55" s="24"/>
      <c r="D55" s="24"/>
      <c r="E55" s="24"/>
      <c r="F55" s="24"/>
      <c r="G55" s="24"/>
      <c r="H55" s="24"/>
      <c r="I55" s="84">
        <f>Summary!B32</f>
        <v>0.08</v>
      </c>
      <c r="J55" s="24" t="s">
        <v>226</v>
      </c>
      <c r="K55" s="24"/>
      <c r="L55" s="101">
        <f>I55*W4</f>
        <v>1.4691861130386576</v>
      </c>
      <c r="M55" s="99"/>
      <c r="N55" s="101">
        <f>(L55*10^6)/D5</f>
        <v>14.691861130386577</v>
      </c>
      <c r="O55" s="85"/>
      <c r="W55" t="s">
        <v>294</v>
      </c>
      <c r="Y55">
        <v>0.2</v>
      </c>
    </row>
    <row r="56" spans="2:28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93"/>
      <c r="M56" s="93"/>
      <c r="N56" s="93"/>
      <c r="O56" s="93"/>
      <c r="W56" t="s">
        <v>295</v>
      </c>
      <c r="Y56">
        <v>2.16</v>
      </c>
      <c r="Z56" t="s">
        <v>298</v>
      </c>
      <c r="AB56">
        <v>0.28999999999999998</v>
      </c>
    </row>
    <row r="57" spans="2:28">
      <c r="B57" s="24"/>
      <c r="C57" s="24"/>
      <c r="D57" s="24"/>
      <c r="E57" s="24"/>
      <c r="F57" s="24"/>
      <c r="G57" s="24"/>
      <c r="H57" s="24"/>
      <c r="I57" s="24" t="s">
        <v>227</v>
      </c>
      <c r="J57" s="24"/>
      <c r="K57" s="24"/>
      <c r="L57" s="85">
        <f>SUM(L47:L55)</f>
        <v>12.560093449020206</v>
      </c>
      <c r="M57" s="24"/>
      <c r="N57" s="85">
        <f>SUM(N47:N55)</f>
        <v>125.60093449020206</v>
      </c>
      <c r="O57" s="85"/>
      <c r="W57" t="s">
        <v>62</v>
      </c>
      <c r="Y57">
        <f>(Y56*10^6)/Y55</f>
        <v>10800000</v>
      </c>
      <c r="Z57" t="s">
        <v>62</v>
      </c>
      <c r="AB57">
        <f>(AB56*10^6)/Y55</f>
        <v>1450000</v>
      </c>
    </row>
    <row r="58" spans="2:28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W58" t="s">
        <v>296</v>
      </c>
      <c r="Y58" s="7">
        <f>Y57/Y54</f>
        <v>1369.8630136986301</v>
      </c>
      <c r="Z58" t="s">
        <v>296</v>
      </c>
      <c r="AB58" s="7">
        <f>AB57/Y54</f>
        <v>183.91679350583459</v>
      </c>
    </row>
    <row r="59" spans="2:28">
      <c r="B59" s="97" t="s">
        <v>230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</row>
    <row r="60" spans="2:28">
      <c r="B60" s="93"/>
      <c r="C60" s="93"/>
      <c r="D60" s="96" t="s">
        <v>228</v>
      </c>
      <c r="E60" s="96"/>
      <c r="F60" s="96" t="s">
        <v>9</v>
      </c>
      <c r="G60" s="96"/>
      <c r="H60" s="96" t="s">
        <v>231</v>
      </c>
      <c r="I60" s="94"/>
      <c r="J60" s="96" t="s">
        <v>28</v>
      </c>
      <c r="K60" s="94"/>
      <c r="L60" s="96" t="s">
        <v>204</v>
      </c>
      <c r="M60" s="94"/>
      <c r="N60" s="96" t="s">
        <v>232</v>
      </c>
      <c r="O60" s="116"/>
    </row>
    <row r="61" spans="2:28">
      <c r="B61" s="24" t="s">
        <v>167</v>
      </c>
      <c r="C61" s="24"/>
      <c r="D61" s="85">
        <f>M8</f>
        <v>265.44699999999995</v>
      </c>
      <c r="E61" s="91"/>
      <c r="F61" s="84">
        <f>Summary!$B$32</f>
        <v>0.08</v>
      </c>
      <c r="G61" s="84"/>
      <c r="H61" s="24">
        <f>Summary!$B$33</f>
        <v>20</v>
      </c>
      <c r="I61" s="24"/>
      <c r="J61" s="91">
        <f>Summary!$B$34</f>
        <v>0.10185220882315059</v>
      </c>
      <c r="K61" s="24"/>
      <c r="L61" s="101">
        <f>J61*D61</f>
        <v>27.036363275478848</v>
      </c>
      <c r="M61" s="99"/>
      <c r="N61" s="101">
        <f>(L61*10^6)/D5</f>
        <v>270.36363275478845</v>
      </c>
      <c r="O61" s="85"/>
    </row>
    <row r="62" spans="2:28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93"/>
      <c r="M62" s="93"/>
      <c r="N62" s="93"/>
      <c r="O62" s="93"/>
    </row>
    <row r="63" spans="2:28">
      <c r="B63" s="24"/>
      <c r="C63" s="24"/>
      <c r="D63" s="24"/>
      <c r="E63" s="24"/>
      <c r="F63" s="24"/>
      <c r="G63" s="24"/>
      <c r="H63" s="24" t="s">
        <v>246</v>
      </c>
      <c r="I63" s="24"/>
      <c r="J63" s="24"/>
      <c r="K63" s="24"/>
      <c r="L63" s="85">
        <f>L61</f>
        <v>27.036363275478848</v>
      </c>
      <c r="M63" s="24"/>
      <c r="N63" s="85">
        <f>N61</f>
        <v>270.36363275478845</v>
      </c>
      <c r="O63" s="85"/>
      <c r="W63" t="s">
        <v>301</v>
      </c>
    </row>
    <row r="64" spans="2:28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Y64" t="s">
        <v>6</v>
      </c>
      <c r="Z64" t="s">
        <v>13</v>
      </c>
    </row>
    <row r="65" spans="2:28">
      <c r="B65" s="97" t="s">
        <v>247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W65" t="s">
        <v>302</v>
      </c>
      <c r="Y65">
        <v>1.2</v>
      </c>
      <c r="Z65">
        <v>1.4</v>
      </c>
    </row>
    <row r="66" spans="2:28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6" t="s">
        <v>204</v>
      </c>
      <c r="M66" s="94"/>
      <c r="N66" s="96" t="s">
        <v>232</v>
      </c>
      <c r="O66" s="96"/>
      <c r="W66" t="s">
        <v>303</v>
      </c>
      <c r="Y66">
        <f>5.8</f>
        <v>5.8</v>
      </c>
    </row>
    <row r="67" spans="2:28">
      <c r="B67" s="24"/>
      <c r="C67" s="24"/>
      <c r="D67" s="24"/>
      <c r="E67" s="24"/>
      <c r="F67" s="24"/>
      <c r="G67" s="24"/>
      <c r="H67" s="24" t="s">
        <v>248</v>
      </c>
      <c r="I67" s="24"/>
      <c r="J67" s="24"/>
      <c r="K67" s="24"/>
      <c r="L67" s="85">
        <f>L41</f>
        <v>70.096365356938293</v>
      </c>
      <c r="M67" s="24"/>
      <c r="N67" s="85">
        <f>N41</f>
        <v>700.96365356938293</v>
      </c>
      <c r="O67" s="115"/>
      <c r="W67" t="s">
        <v>304</v>
      </c>
      <c r="Y67">
        <v>103</v>
      </c>
    </row>
    <row r="68" spans="2:28">
      <c r="B68" s="24"/>
      <c r="C68" s="24"/>
      <c r="D68" s="24"/>
      <c r="E68" s="24"/>
      <c r="F68" s="24"/>
      <c r="G68" s="24"/>
      <c r="H68" s="24" t="s">
        <v>249</v>
      </c>
      <c r="I68" s="24"/>
      <c r="J68" s="24"/>
      <c r="K68" s="24"/>
      <c r="L68" s="101">
        <f>L57</f>
        <v>12.560093449020206</v>
      </c>
      <c r="M68" s="99"/>
      <c r="N68" s="101">
        <f>N57</f>
        <v>125.60093449020206</v>
      </c>
      <c r="O68" s="85"/>
      <c r="W68" t="s">
        <v>305</v>
      </c>
      <c r="Y68" s="7">
        <f>(10^6*Z65)/Y67</f>
        <v>13592.233009708738</v>
      </c>
      <c r="AA68">
        <f>(Y66*Summary!B29*1000*Y54)/10^6</f>
        <v>2.267611848</v>
      </c>
    </row>
    <row r="69" spans="2:28">
      <c r="B69" s="24"/>
      <c r="C69" s="24"/>
      <c r="D69" s="24"/>
      <c r="E69" s="24"/>
      <c r="F69" s="24"/>
      <c r="G69" s="24"/>
      <c r="H69" s="24" t="s">
        <v>250</v>
      </c>
      <c r="I69" s="24"/>
      <c r="J69" s="24"/>
      <c r="K69" s="24"/>
      <c r="L69" s="100">
        <f>L67+L68</f>
        <v>82.656458805958493</v>
      </c>
      <c r="M69" s="93"/>
      <c r="N69" s="100">
        <f>N67+N68</f>
        <v>826.56458805958505</v>
      </c>
      <c r="O69" s="100"/>
      <c r="W69" t="s">
        <v>306</v>
      </c>
      <c r="Y69" s="15">
        <f>Y68/Y54</f>
        <v>1.7240275253308901</v>
      </c>
    </row>
    <row r="70" spans="2:28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28">
      <c r="B71" s="24"/>
      <c r="C71" s="24"/>
      <c r="D71" s="24"/>
      <c r="E71" s="24"/>
      <c r="F71" s="24"/>
      <c r="G71" s="24"/>
      <c r="H71" s="24" t="s">
        <v>251</v>
      </c>
      <c r="I71" s="24"/>
      <c r="J71" s="24"/>
      <c r="K71" s="24"/>
      <c r="L71" s="85">
        <f>L69+L63</f>
        <v>109.69282208143734</v>
      </c>
      <c r="M71" s="24"/>
      <c r="N71" s="85">
        <f>N69+N63</f>
        <v>1096.9282208143736</v>
      </c>
      <c r="O71" s="85"/>
    </row>
    <row r="72" spans="2:28">
      <c r="B72" s="24"/>
      <c r="C72" s="24"/>
      <c r="D72" s="24"/>
      <c r="E72" s="24"/>
      <c r="F72" s="24"/>
      <c r="G72" s="24"/>
      <c r="H72" s="24" t="s">
        <v>310</v>
      </c>
      <c r="I72" s="24"/>
      <c r="J72" s="24"/>
      <c r="K72" s="24"/>
      <c r="L72" s="85">
        <f>L71</f>
        <v>109.69282208143734</v>
      </c>
      <c r="M72" s="24"/>
      <c r="N72" s="85">
        <f>N71</f>
        <v>1096.9282208143736</v>
      </c>
      <c r="O72" s="85"/>
      <c r="W72" t="s">
        <v>307</v>
      </c>
      <c r="Z72">
        <v>8.7799999999999994</v>
      </c>
      <c r="AA72" t="s">
        <v>308</v>
      </c>
    </row>
    <row r="73" spans="2:28">
      <c r="Z73">
        <f>Z72*99920</f>
        <v>877297.6</v>
      </c>
      <c r="AA73" t="s">
        <v>0</v>
      </c>
    </row>
    <row r="74" spans="2:28">
      <c r="K74" s="1"/>
      <c r="Z74" s="7">
        <f>(Z73*1000)/(Y54*3600)</f>
        <v>30.909916004284344</v>
      </c>
      <c r="AA74" t="s">
        <v>6</v>
      </c>
      <c r="AB74">
        <v>2</v>
      </c>
    </row>
    <row r="75" spans="2:28">
      <c r="K75" s="1"/>
      <c r="Y75">
        <f>0.6*Z75</f>
        <v>7.2508646639999998</v>
      </c>
      <c r="Z75" s="7">
        <f>(Z74*Summary!B29*1000*Y54)/10^6</f>
        <v>12.08477444</v>
      </c>
      <c r="AB75">
        <f>(AB74*Summary!B29*1000*'Direct Air Capture'!Y54)/10^6</f>
        <v>0.78193512000000009</v>
      </c>
    </row>
    <row r="76" spans="2:28">
      <c r="K76" s="1"/>
    </row>
    <row r="77" spans="2:28">
      <c r="K77" s="1"/>
    </row>
    <row r="119" spans="19:21">
      <c r="S119" s="7"/>
    </row>
    <row r="120" spans="19:21">
      <c r="U120" s="7"/>
    </row>
    <row r="138" spans="11:15">
      <c r="K138" s="7"/>
      <c r="L138" s="7"/>
      <c r="M138" s="7"/>
      <c r="N138" s="7"/>
      <c r="O138" s="7"/>
    </row>
    <row r="139" spans="11:15">
      <c r="K139" s="7"/>
      <c r="L139" s="7"/>
      <c r="M139" s="7"/>
      <c r="N139" s="7"/>
      <c r="O139" s="7"/>
    </row>
    <row r="140" spans="11:15">
      <c r="K140" s="7"/>
      <c r="L140" s="7"/>
      <c r="M140" s="7"/>
      <c r="N140" s="7"/>
      <c r="O140" s="7"/>
    </row>
  </sheetData>
  <hyperlinks>
    <hyperlink ref="B2" r:id="rId1" location="sec2" xr:uid="{AB6AB062-2244-A444-8141-9E2AD5436C8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5D16-FF75-6C44-8FFE-AD9938B2806A}">
  <dimension ref="B2:CD172"/>
  <sheetViews>
    <sheetView tabSelected="1" topLeftCell="A42" zoomScale="75" workbookViewId="0">
      <selection activeCell="U66" sqref="U66"/>
    </sheetView>
  </sheetViews>
  <sheetFormatPr baseColWidth="10" defaultRowHeight="16"/>
  <cols>
    <col min="3" max="3" width="19.1640625" customWidth="1"/>
    <col min="5" max="5" width="5.33203125" customWidth="1"/>
    <col min="7" max="7" width="7.33203125" customWidth="1"/>
    <col min="8" max="8" width="12.1640625" customWidth="1"/>
    <col min="9" max="9" width="8.6640625" customWidth="1"/>
    <col min="10" max="10" width="12" customWidth="1"/>
    <col min="11" max="11" width="6.5" customWidth="1"/>
    <col min="12" max="12" width="8.6640625" customWidth="1"/>
    <col min="13" max="13" width="8.83203125" customWidth="1"/>
    <col min="14" max="14" width="8.6640625" customWidth="1"/>
    <col min="23" max="23" width="8.6640625" customWidth="1"/>
    <col min="24" max="24" width="16.83203125" bestFit="1" customWidth="1"/>
    <col min="25" max="25" width="16.33203125" customWidth="1"/>
    <col min="26" max="26" width="13.6640625" customWidth="1"/>
    <col min="27" max="27" width="8.5" customWidth="1"/>
    <col min="28" max="28" width="7.1640625" customWidth="1"/>
    <col min="29" max="29" width="7.6640625" customWidth="1"/>
    <col min="30" max="30" width="5.33203125" customWidth="1"/>
    <col min="31" max="31" width="11.33203125" customWidth="1"/>
    <col min="32" max="33" width="16.33203125" customWidth="1"/>
    <col min="34" max="34" width="8.5" customWidth="1"/>
    <col min="35" max="35" width="9" customWidth="1"/>
    <col min="36" max="36" width="8.1640625" customWidth="1"/>
    <col min="37" max="37" width="9.33203125" customWidth="1"/>
    <col min="38" max="38" width="11.83203125" customWidth="1"/>
    <col min="39" max="39" width="9.1640625" customWidth="1"/>
    <col min="40" max="40" width="13" customWidth="1"/>
    <col min="41" max="41" width="9.1640625" customWidth="1"/>
    <col min="42" max="42" width="11.33203125" customWidth="1"/>
    <col min="43" max="43" width="11" customWidth="1"/>
    <col min="44" max="44" width="10" customWidth="1"/>
    <col min="45" max="45" width="11.1640625" customWidth="1"/>
    <col min="46" max="46" width="16.83203125" bestFit="1" customWidth="1"/>
    <col min="47" max="47" width="12.83203125" customWidth="1"/>
    <col min="62" max="62" width="12" customWidth="1"/>
    <col min="63" max="64" width="11.6640625" bestFit="1" customWidth="1"/>
    <col min="65" max="65" width="11" bestFit="1" customWidth="1"/>
    <col min="66" max="82" width="11.6640625" bestFit="1" customWidth="1"/>
  </cols>
  <sheetData>
    <row r="2" spans="2:82">
      <c r="B2" s="97" t="s">
        <v>383</v>
      </c>
      <c r="C2" s="97"/>
      <c r="D2" s="97"/>
      <c r="E2" s="97"/>
      <c r="F2" s="97"/>
      <c r="G2" s="97"/>
      <c r="H2" s="97"/>
      <c r="I2" s="111"/>
      <c r="J2" s="97" t="s">
        <v>192</v>
      </c>
      <c r="K2" s="97"/>
      <c r="L2" s="97"/>
      <c r="M2" s="97"/>
      <c r="N2" s="97"/>
      <c r="O2" s="97"/>
      <c r="Q2" t="s">
        <v>323</v>
      </c>
    </row>
    <row r="3" spans="2:82">
      <c r="B3" s="93"/>
      <c r="C3" s="93"/>
      <c r="D3" s="93"/>
      <c r="E3" s="93"/>
      <c r="F3" s="93"/>
      <c r="G3" s="93"/>
      <c r="H3" s="93"/>
      <c r="I3" s="112"/>
      <c r="J3" s="108"/>
      <c r="K3" s="108"/>
      <c r="L3" s="108"/>
      <c r="M3" s="103" t="s">
        <v>228</v>
      </c>
      <c r="N3" s="93"/>
      <c r="O3" s="93"/>
      <c r="S3" t="s">
        <v>250</v>
      </c>
      <c r="U3">
        <v>144.54</v>
      </c>
      <c r="Y3" s="152" t="s">
        <v>319</v>
      </c>
      <c r="Z3" s="138"/>
      <c r="AA3" s="138"/>
      <c r="AB3" s="138"/>
      <c r="AC3" s="138"/>
      <c r="AD3" s="138"/>
      <c r="AE3" s="138"/>
      <c r="AF3" s="139"/>
      <c r="AG3" s="138" t="s">
        <v>192</v>
      </c>
      <c r="AH3" s="138"/>
      <c r="AI3" s="138"/>
      <c r="AJ3" s="138"/>
      <c r="AK3" s="138"/>
      <c r="AL3" s="138"/>
      <c r="AM3" t="s">
        <v>323</v>
      </c>
      <c r="AT3" s="153" t="s">
        <v>319</v>
      </c>
      <c r="AU3" s="140"/>
      <c r="AV3" s="140"/>
      <c r="AW3" s="140"/>
      <c r="AX3" s="140"/>
      <c r="AY3" s="140"/>
      <c r="AZ3" s="140"/>
      <c r="BA3" s="141"/>
      <c r="BB3" s="140" t="s">
        <v>192</v>
      </c>
      <c r="BC3" s="140"/>
      <c r="BD3" s="140"/>
      <c r="BE3" s="140"/>
      <c r="BF3" s="140"/>
      <c r="BG3" s="140"/>
      <c r="BH3" s="8"/>
      <c r="BI3" t="s">
        <v>323</v>
      </c>
    </row>
    <row r="4" spans="2:82">
      <c r="B4" s="24"/>
      <c r="C4" s="24"/>
      <c r="D4" s="24"/>
      <c r="E4" s="24"/>
      <c r="F4" s="24"/>
      <c r="G4" s="24"/>
      <c r="H4" s="24"/>
      <c r="I4" s="113"/>
      <c r="J4" s="109" t="s">
        <v>185</v>
      </c>
      <c r="K4" s="109"/>
      <c r="L4" s="109"/>
      <c r="M4" s="102">
        <f>S39</f>
        <v>13.600000000000001</v>
      </c>
      <c r="N4" s="24"/>
      <c r="O4" s="24"/>
      <c r="Q4" t="s">
        <v>188</v>
      </c>
      <c r="V4" s="7">
        <v>40.898177681419696</v>
      </c>
      <c r="Y4" s="93"/>
      <c r="Z4" s="93"/>
      <c r="AA4" s="93"/>
      <c r="AB4" s="93"/>
      <c r="AC4" s="93"/>
      <c r="AD4" s="93"/>
      <c r="AE4" s="93"/>
      <c r="AF4" s="112"/>
      <c r="AG4" s="108"/>
      <c r="AH4" s="108"/>
      <c r="AI4" s="108"/>
      <c r="AJ4" s="103" t="s">
        <v>228</v>
      </c>
      <c r="AK4" s="93"/>
      <c r="AL4" s="93"/>
      <c r="AP4" t="s">
        <v>245</v>
      </c>
      <c r="AQ4">
        <v>120.41</v>
      </c>
      <c r="AT4" s="93"/>
      <c r="AU4" s="93"/>
      <c r="AV4" s="93"/>
      <c r="AW4" s="93"/>
      <c r="AX4" s="93"/>
      <c r="AY4" s="93"/>
      <c r="AZ4" s="93"/>
      <c r="BA4" s="112"/>
      <c r="BB4" s="108"/>
      <c r="BC4" s="108"/>
      <c r="BD4" s="108"/>
      <c r="BE4" s="103" t="s">
        <v>228</v>
      </c>
      <c r="BF4" s="93"/>
      <c r="BG4" s="93"/>
      <c r="BL4" t="s">
        <v>245</v>
      </c>
      <c r="BM4">
        <v>165.05</v>
      </c>
    </row>
    <row r="5" spans="2:82">
      <c r="B5" s="24" t="s">
        <v>121</v>
      </c>
      <c r="C5" s="24"/>
      <c r="D5" s="89">
        <f>S16</f>
        <v>100000</v>
      </c>
      <c r="E5" s="24" t="s">
        <v>191</v>
      </c>
      <c r="F5" s="24"/>
      <c r="G5" s="24"/>
      <c r="H5" s="24"/>
      <c r="I5" s="113"/>
      <c r="J5" s="109" t="s">
        <v>186</v>
      </c>
      <c r="K5" s="109"/>
      <c r="L5" s="109"/>
      <c r="M5" s="83">
        <f>0.4*M4</f>
        <v>5.4400000000000013</v>
      </c>
      <c r="N5" s="24"/>
      <c r="O5" s="24"/>
      <c r="Q5" t="s">
        <v>236</v>
      </c>
      <c r="T5">
        <v>2</v>
      </c>
      <c r="U5" t="s">
        <v>242</v>
      </c>
      <c r="V5" s="7">
        <f>T5*7*(L24/D7)</f>
        <v>9.2050204475766453</v>
      </c>
      <c r="Y5" s="24"/>
      <c r="Z5" s="24"/>
      <c r="AA5" s="24"/>
      <c r="AB5" s="24"/>
      <c r="AC5" s="24"/>
      <c r="AD5" s="24"/>
      <c r="AE5" s="24"/>
      <c r="AF5" s="113"/>
      <c r="AG5" s="109" t="s">
        <v>185</v>
      </c>
      <c r="AH5" s="109"/>
      <c r="AI5" s="109"/>
      <c r="AJ5" s="102">
        <f>AQ38</f>
        <v>854.88239999999996</v>
      </c>
      <c r="AK5" s="24"/>
      <c r="AL5" s="24"/>
      <c r="AM5" t="s">
        <v>188</v>
      </c>
      <c r="AR5" s="7">
        <v>41.676015858443435</v>
      </c>
      <c r="AS5" s="7"/>
      <c r="AT5" s="24"/>
      <c r="AU5" s="24"/>
      <c r="AV5" s="24"/>
      <c r="AW5" s="24"/>
      <c r="AX5" s="24"/>
      <c r="AY5" s="24"/>
      <c r="AZ5" s="24"/>
      <c r="BA5" s="113"/>
      <c r="BB5" s="109" t="s">
        <v>185</v>
      </c>
      <c r="BC5" s="109"/>
      <c r="BD5" s="109"/>
      <c r="BE5" s="102">
        <f>BM38</f>
        <v>1104.1605400000001</v>
      </c>
      <c r="BF5" s="24"/>
      <c r="BG5" s="24"/>
      <c r="BI5" t="s">
        <v>188</v>
      </c>
      <c r="BO5" s="7">
        <v>55.477227176837275</v>
      </c>
      <c r="BU5" s="12"/>
      <c r="BV5" s="12"/>
      <c r="BW5" s="12"/>
      <c r="BX5" s="12"/>
      <c r="BY5" s="12"/>
      <c r="BZ5" s="12"/>
      <c r="CA5" s="12"/>
      <c r="CB5" s="12"/>
      <c r="CC5" s="12"/>
      <c r="CD5" s="12"/>
    </row>
    <row r="6" spans="2:82">
      <c r="B6" s="109" t="s">
        <v>256</v>
      </c>
      <c r="C6" s="24"/>
      <c r="D6" s="24">
        <v>8000</v>
      </c>
      <c r="E6" s="24" t="s">
        <v>189</v>
      </c>
      <c r="F6" s="24"/>
      <c r="G6" s="24"/>
      <c r="H6" s="24"/>
      <c r="I6" s="113"/>
      <c r="J6" s="109" t="s">
        <v>277</v>
      </c>
      <c r="K6" s="109"/>
      <c r="L6" s="109"/>
      <c r="M6" s="83">
        <f>N6*(M4+M5)</f>
        <v>3.8080000000000007</v>
      </c>
      <c r="N6" s="84">
        <v>0.2</v>
      </c>
      <c r="O6" s="24" t="s">
        <v>229</v>
      </c>
      <c r="Q6" t="s">
        <v>237</v>
      </c>
      <c r="T6">
        <v>2</v>
      </c>
      <c r="U6" t="s">
        <v>243</v>
      </c>
      <c r="V6" s="7">
        <f>T6*7*(L$67/D$7)</f>
        <v>7.4535262671360254</v>
      </c>
      <c r="Y6" s="24" t="s">
        <v>121</v>
      </c>
      <c r="Z6" s="24"/>
      <c r="AA6" s="89">
        <f>AP18</f>
        <v>753360</v>
      </c>
      <c r="AB6" s="24" t="s">
        <v>191</v>
      </c>
      <c r="AC6" s="24"/>
      <c r="AD6" s="24"/>
      <c r="AE6" s="24"/>
      <c r="AF6" s="113"/>
      <c r="AG6" s="109" t="s">
        <v>186</v>
      </c>
      <c r="AH6" s="109"/>
      <c r="AI6" s="109"/>
      <c r="AJ6" s="83">
        <f>0.4*AJ5</f>
        <v>341.95296000000002</v>
      </c>
      <c r="AK6" s="24"/>
      <c r="AL6" s="24"/>
      <c r="AM6" t="s">
        <v>236</v>
      </c>
      <c r="AP6">
        <v>2</v>
      </c>
      <c r="AQ6" t="s">
        <v>242</v>
      </c>
      <c r="AR6" s="7">
        <f>AP6*7*(AI26/AA8)</f>
        <v>5.9123288700000014</v>
      </c>
      <c r="AS6" s="7"/>
      <c r="AT6" s="24" t="s">
        <v>121</v>
      </c>
      <c r="AU6" s="24"/>
      <c r="AV6" s="89">
        <f>BL18</f>
        <v>793360</v>
      </c>
      <c r="AW6" s="24" t="s">
        <v>191</v>
      </c>
      <c r="AX6" s="24"/>
      <c r="AY6" s="24"/>
      <c r="AZ6" s="24"/>
      <c r="BA6" s="113"/>
      <c r="BB6" s="109" t="s">
        <v>186</v>
      </c>
      <c r="BC6" s="109"/>
      <c r="BD6" s="109"/>
      <c r="BE6" s="83">
        <f>0.4*BE5</f>
        <v>441.66421600000007</v>
      </c>
      <c r="BF6" s="24"/>
      <c r="BG6" s="24"/>
      <c r="BI6" t="s">
        <v>236</v>
      </c>
      <c r="BL6">
        <v>2</v>
      </c>
      <c r="BM6" t="s">
        <v>242</v>
      </c>
      <c r="BO6" s="7">
        <f>BL6*7*(BD26/AV8)</f>
        <v>5.9108437500000015</v>
      </c>
    </row>
    <row r="7" spans="2:82">
      <c r="B7" s="109"/>
      <c r="C7" s="24"/>
      <c r="D7" s="85">
        <f>(D6/8760)*365</f>
        <v>333.33333333333331</v>
      </c>
      <c r="E7" s="24" t="s">
        <v>190</v>
      </c>
      <c r="F7" s="24"/>
      <c r="G7" s="24"/>
      <c r="H7" s="24"/>
      <c r="I7" s="113"/>
      <c r="J7" s="109" t="s">
        <v>119</v>
      </c>
      <c r="K7" s="109"/>
      <c r="L7" s="109"/>
      <c r="M7" s="104">
        <f>N7*(M4+M5)</f>
        <v>1.9040000000000004</v>
      </c>
      <c r="N7" s="84">
        <v>0.1</v>
      </c>
      <c r="O7" s="24" t="s">
        <v>258</v>
      </c>
      <c r="Q7" t="s">
        <v>238</v>
      </c>
      <c r="T7">
        <v>1</v>
      </c>
      <c r="U7" t="s">
        <v>244</v>
      </c>
      <c r="V7" s="7">
        <f>T7*7*(L$67/D$7)</f>
        <v>3.7267631335680127</v>
      </c>
      <c r="Y7" s="109" t="s">
        <v>256</v>
      </c>
      <c r="Z7" s="24"/>
      <c r="AA7" s="24">
        <v>8000</v>
      </c>
      <c r="AB7" s="24" t="s">
        <v>189</v>
      </c>
      <c r="AC7" s="24"/>
      <c r="AD7" s="24"/>
      <c r="AE7" s="24"/>
      <c r="AF7" s="113"/>
      <c r="AG7" s="109" t="s">
        <v>277</v>
      </c>
      <c r="AH7" s="109"/>
      <c r="AI7" s="109"/>
      <c r="AJ7" s="83">
        <f>AK7*(AJ5+AJ6)</f>
        <v>239.36707200000001</v>
      </c>
      <c r="AK7" s="84">
        <v>0.2</v>
      </c>
      <c r="AL7" s="24" t="s">
        <v>229</v>
      </c>
      <c r="AM7" t="s">
        <v>237</v>
      </c>
      <c r="AP7">
        <v>2</v>
      </c>
      <c r="AQ7" t="s">
        <v>243</v>
      </c>
      <c r="AR7" s="7">
        <f>AP7*7*($AI$69/$AA$8)</f>
        <v>10.316014698354259</v>
      </c>
      <c r="AS7" s="7"/>
      <c r="AT7" s="109" t="s">
        <v>256</v>
      </c>
      <c r="AU7" s="24"/>
      <c r="AV7" s="24">
        <v>8000</v>
      </c>
      <c r="AW7" s="24" t="s">
        <v>189</v>
      </c>
      <c r="AX7" s="24"/>
      <c r="AY7" s="24"/>
      <c r="AZ7" s="24"/>
      <c r="BA7" s="113"/>
      <c r="BB7" s="109" t="s">
        <v>277</v>
      </c>
      <c r="BC7" s="109"/>
      <c r="BD7" s="109"/>
      <c r="BE7" s="83">
        <f>BF7*(BE5+BE6)</f>
        <v>309.16495120000008</v>
      </c>
      <c r="BF7" s="84">
        <v>0.2</v>
      </c>
      <c r="BG7" s="24" t="s">
        <v>229</v>
      </c>
      <c r="BI7" t="s">
        <v>237</v>
      </c>
      <c r="BL7">
        <v>2</v>
      </c>
      <c r="BM7" t="s">
        <v>243</v>
      </c>
      <c r="BO7" s="7">
        <f>BL7*7*(BD$68/AV$8)</f>
        <v>12.532860725788597</v>
      </c>
      <c r="BU7" s="6"/>
      <c r="BV7" s="6"/>
      <c r="BW7" s="6"/>
      <c r="BX7" s="6"/>
      <c r="BY7" s="6"/>
      <c r="BZ7" s="6"/>
      <c r="CA7" s="6"/>
      <c r="CB7" s="6"/>
      <c r="CC7" s="6"/>
      <c r="CD7" s="6"/>
    </row>
    <row r="8" spans="2:82">
      <c r="B8" s="109"/>
      <c r="C8" s="24"/>
      <c r="D8" s="92"/>
      <c r="E8" s="24"/>
      <c r="F8" s="24"/>
      <c r="G8" s="24"/>
      <c r="H8" s="24"/>
      <c r="I8" s="113"/>
      <c r="J8" s="109" t="s">
        <v>184</v>
      </c>
      <c r="K8" s="109"/>
      <c r="L8" s="109"/>
      <c r="M8" s="102">
        <f>M4*(1.4)*(1.3)</f>
        <v>24.751999999999999</v>
      </c>
      <c r="N8" s="24"/>
      <c r="O8" s="24"/>
      <c r="Q8" t="s">
        <v>239</v>
      </c>
      <c r="T8">
        <v>4</v>
      </c>
      <c r="U8" t="s">
        <v>244</v>
      </c>
      <c r="V8" s="7">
        <f>T8*7*(L$67/D$7)</f>
        <v>14.907052534272051</v>
      </c>
      <c r="Y8" s="109"/>
      <c r="Z8" s="24"/>
      <c r="AA8" s="85">
        <f>(AA7/8760)*365</f>
        <v>333.33333333333331</v>
      </c>
      <c r="AB8" s="24" t="s">
        <v>190</v>
      </c>
      <c r="AC8" s="24"/>
      <c r="AD8" s="24"/>
      <c r="AE8" s="24"/>
      <c r="AF8" s="113"/>
      <c r="AG8" s="109" t="s">
        <v>119</v>
      </c>
      <c r="AH8" s="109"/>
      <c r="AI8" s="109"/>
      <c r="AJ8" s="104">
        <f>AK8*(AJ5+AJ6)</f>
        <v>119.683536</v>
      </c>
      <c r="AK8" s="84">
        <v>0.1</v>
      </c>
      <c r="AL8" s="24" t="s">
        <v>258</v>
      </c>
      <c r="AM8" t="s">
        <v>238</v>
      </c>
      <c r="AP8">
        <v>1</v>
      </c>
      <c r="AQ8" t="s">
        <v>244</v>
      </c>
      <c r="AR8" s="7">
        <f>AP8*7*($AI$69/$AA$8)</f>
        <v>5.1580073491771294</v>
      </c>
      <c r="AS8" s="7"/>
      <c r="AT8" s="109"/>
      <c r="AU8" s="24"/>
      <c r="AV8" s="85">
        <f>(AV7/8760)*365</f>
        <v>333.33333333333331</v>
      </c>
      <c r="AW8" s="24" t="s">
        <v>190</v>
      </c>
      <c r="AX8" s="24"/>
      <c r="AY8" s="24"/>
      <c r="AZ8" s="24"/>
      <c r="BA8" s="113"/>
      <c r="BB8" s="109" t="s">
        <v>119</v>
      </c>
      <c r="BC8" s="109"/>
      <c r="BD8" s="109"/>
      <c r="BE8" s="104">
        <f>BF8*(BE5+BE6)</f>
        <v>154.58247560000004</v>
      </c>
      <c r="BF8" s="84">
        <v>0.1</v>
      </c>
      <c r="BG8" s="24" t="s">
        <v>258</v>
      </c>
      <c r="BI8" t="s">
        <v>238</v>
      </c>
      <c r="BL8">
        <v>1</v>
      </c>
      <c r="BM8" t="s">
        <v>244</v>
      </c>
      <c r="BO8" s="7">
        <f>BL8*7*(BD$68/AV$8)</f>
        <v>6.2664303628942983</v>
      </c>
      <c r="BU8" s="6"/>
      <c r="BV8" s="6"/>
      <c r="BW8" s="6"/>
      <c r="BX8" s="6"/>
      <c r="BY8" s="6"/>
      <c r="BZ8" s="6"/>
      <c r="CA8" s="6"/>
      <c r="CB8" s="6"/>
      <c r="CC8" s="6"/>
      <c r="CD8" s="6"/>
    </row>
    <row r="9" spans="2:82">
      <c r="B9" s="109"/>
      <c r="C9" s="127"/>
      <c r="D9" s="24"/>
      <c r="F9" s="24"/>
      <c r="G9" s="126"/>
      <c r="H9" s="24"/>
      <c r="I9" s="113"/>
      <c r="J9" s="109" t="s">
        <v>188</v>
      </c>
      <c r="K9" s="24"/>
      <c r="M9" s="83">
        <f>SUM($V$5:$V$10)</f>
        <v>50.38981491682479</v>
      </c>
      <c r="N9" s="24"/>
      <c r="O9" s="24"/>
      <c r="Q9" t="s">
        <v>240</v>
      </c>
      <c r="T9">
        <v>4</v>
      </c>
      <c r="U9" t="s">
        <v>244</v>
      </c>
      <c r="V9" s="7">
        <f>T9*7*(L$67/D$7)</f>
        <v>14.907052534272051</v>
      </c>
      <c r="Y9" s="109"/>
      <c r="Z9" s="24"/>
      <c r="AA9" s="92"/>
      <c r="AB9" s="24"/>
      <c r="AC9" s="24"/>
      <c r="AD9" s="24"/>
      <c r="AE9" s="24"/>
      <c r="AF9" s="113"/>
      <c r="AG9" s="109" t="s">
        <v>184</v>
      </c>
      <c r="AH9" s="109"/>
      <c r="AI9" s="109"/>
      <c r="AJ9" s="102">
        <f>AJ5*(1.4)*(1.3)</f>
        <v>1555.8859679999998</v>
      </c>
      <c r="AK9" s="24"/>
      <c r="AL9" s="24"/>
      <c r="AM9" t="s">
        <v>239</v>
      </c>
      <c r="AP9">
        <v>4</v>
      </c>
      <c r="AQ9" t="s">
        <v>244</v>
      </c>
      <c r="AR9" s="7">
        <f>AP9*7*($AI$69/$AA$8)</f>
        <v>20.632029396708518</v>
      </c>
      <c r="AS9" s="7"/>
      <c r="AT9" s="109"/>
      <c r="AU9" s="24"/>
      <c r="AV9" s="92"/>
      <c r="AW9" s="24"/>
      <c r="AX9" s="24"/>
      <c r="AY9" s="24"/>
      <c r="AZ9" s="24"/>
      <c r="BA9" s="113"/>
      <c r="BB9" s="109" t="s">
        <v>184</v>
      </c>
      <c r="BC9" s="109"/>
      <c r="BD9" s="109"/>
      <c r="BE9" s="102">
        <f>BE5*(1.4)*(1.3)</f>
        <v>2009.5721828000001</v>
      </c>
      <c r="BF9" s="24"/>
      <c r="BG9" s="24"/>
      <c r="BI9" t="s">
        <v>239</v>
      </c>
      <c r="BL9">
        <v>4</v>
      </c>
      <c r="BM9" t="s">
        <v>244</v>
      </c>
      <c r="BO9" s="7">
        <f>BL9*7*(BD$68/AV$8)</f>
        <v>25.065721451577193</v>
      </c>
      <c r="BU9" s="6"/>
      <c r="BV9" s="6"/>
      <c r="BW9" s="6"/>
      <c r="BX9" s="6"/>
      <c r="BY9" s="6"/>
      <c r="BZ9" s="6"/>
      <c r="CA9" s="6"/>
      <c r="CB9" s="6"/>
      <c r="CC9" s="6"/>
      <c r="CD9" s="6"/>
    </row>
    <row r="10" spans="2:82">
      <c r="B10" s="110"/>
      <c r="C10" s="92"/>
      <c r="E10" s="92"/>
      <c r="F10" s="92"/>
      <c r="G10" s="92"/>
      <c r="H10" s="92"/>
      <c r="I10" s="114"/>
      <c r="J10" s="110"/>
      <c r="K10" s="92"/>
      <c r="L10" s="92"/>
      <c r="M10" s="92"/>
      <c r="N10" s="92"/>
      <c r="O10" s="92"/>
      <c r="Q10" t="s">
        <v>241</v>
      </c>
      <c r="T10" s="8">
        <v>0.01</v>
      </c>
      <c r="U10" t="s">
        <v>229</v>
      </c>
      <c r="V10" s="7">
        <f>T10*(M4+M5)</f>
        <v>0.19040000000000004</v>
      </c>
      <c r="Y10" s="109"/>
      <c r="Z10" s="127"/>
      <c r="AA10" s="24"/>
      <c r="AC10" s="24"/>
      <c r="AD10" s="126"/>
      <c r="AE10" s="24"/>
      <c r="AF10" s="113"/>
      <c r="AG10" s="109" t="s">
        <v>188</v>
      </c>
      <c r="AH10" s="24"/>
      <c r="AJ10" s="83">
        <f>SUM(AR6:AR11)</f>
        <v>74.618763310948424</v>
      </c>
      <c r="AK10" s="24"/>
      <c r="AL10" s="24"/>
      <c r="AM10" t="s">
        <v>240</v>
      </c>
      <c r="AP10">
        <v>4</v>
      </c>
      <c r="AQ10" t="s">
        <v>244</v>
      </c>
      <c r="AR10" s="7">
        <f>AP10*7*($AI$69/$AA$8)</f>
        <v>20.632029396708518</v>
      </c>
      <c r="AS10" s="7"/>
      <c r="AT10" s="109"/>
      <c r="AU10" s="127"/>
      <c r="AV10" s="24"/>
      <c r="AX10" s="24"/>
      <c r="AY10" s="126"/>
      <c r="AZ10" s="24"/>
      <c r="BA10" s="113"/>
      <c r="BB10" s="109" t="s">
        <v>188</v>
      </c>
      <c r="BC10" s="24"/>
      <c r="BE10" s="83">
        <f>SUM(BO6:BO11)</f>
        <v>90.299825301837288</v>
      </c>
      <c r="BF10" s="24"/>
      <c r="BG10" s="24"/>
      <c r="BI10" t="s">
        <v>240</v>
      </c>
      <c r="BL10">
        <v>4</v>
      </c>
      <c r="BM10" t="s">
        <v>244</v>
      </c>
      <c r="BO10" s="7">
        <f>BL10*7*(BD$68/AV$8)</f>
        <v>25.065721451577193</v>
      </c>
      <c r="BU10" s="6"/>
      <c r="BV10" s="6"/>
      <c r="BW10" s="6"/>
      <c r="BX10" s="6"/>
      <c r="BY10" s="6"/>
      <c r="BZ10" s="6"/>
      <c r="CA10" s="6"/>
      <c r="CB10" s="6"/>
      <c r="CC10" s="6"/>
      <c r="CD10" s="6"/>
    </row>
    <row r="11" spans="2:82">
      <c r="B11" s="97" t="s">
        <v>193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Y11" s="110"/>
      <c r="Z11" s="92"/>
      <c r="AB11" s="92"/>
      <c r="AC11" s="92"/>
      <c r="AD11" s="92"/>
      <c r="AE11" s="92"/>
      <c r="AF11" s="114"/>
      <c r="AG11" s="137"/>
      <c r="AH11" s="137"/>
      <c r="AI11" s="104"/>
      <c r="AJ11" s="137"/>
      <c r="AK11" s="137"/>
      <c r="AL11" s="137"/>
      <c r="AM11" t="s">
        <v>241</v>
      </c>
      <c r="AP11" s="8">
        <v>0.01</v>
      </c>
      <c r="AQ11" t="s">
        <v>229</v>
      </c>
      <c r="AR11" s="7">
        <f>AP11*(AJ5+AJ6)</f>
        <v>11.9683536</v>
      </c>
      <c r="AS11" s="7"/>
      <c r="AT11" s="110"/>
      <c r="AU11" s="92"/>
      <c r="AW11" s="92"/>
      <c r="AX11" s="92"/>
      <c r="AY11" s="92"/>
      <c r="AZ11" s="92"/>
      <c r="BA11" s="114"/>
      <c r="BB11" s="137"/>
      <c r="BC11" s="137"/>
      <c r="BD11" s="104"/>
      <c r="BE11" s="137"/>
      <c r="BF11" s="137"/>
      <c r="BG11" s="137"/>
      <c r="BI11" t="s">
        <v>241</v>
      </c>
      <c r="BL11" s="8">
        <v>0.01</v>
      </c>
      <c r="BM11" t="s">
        <v>229</v>
      </c>
      <c r="BO11" s="7">
        <f>BL11*(BE5+BE6)</f>
        <v>15.458247560000002</v>
      </c>
      <c r="BU11" s="6"/>
      <c r="BV11" s="6"/>
      <c r="BW11" s="6"/>
      <c r="BX11" s="6"/>
      <c r="BY11" s="6"/>
      <c r="BZ11" s="6"/>
      <c r="CA11" s="6"/>
      <c r="CB11" s="6"/>
      <c r="CC11" s="6"/>
      <c r="CD11" s="6"/>
    </row>
    <row r="12" spans="2:82">
      <c r="B12" s="121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Q12" s="1" t="s">
        <v>344</v>
      </c>
      <c r="Y12" s="138" t="s">
        <v>193</v>
      </c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T12" s="140" t="s">
        <v>193</v>
      </c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</row>
    <row r="13" spans="2:82">
      <c r="B13" s="122" t="s">
        <v>194</v>
      </c>
      <c r="C13" s="82"/>
      <c r="D13" s="87" t="s">
        <v>1</v>
      </c>
      <c r="E13" s="87"/>
      <c r="F13" s="88" t="s">
        <v>197</v>
      </c>
      <c r="G13" s="88"/>
      <c r="H13" s="106" t="s">
        <v>198</v>
      </c>
      <c r="I13" s="24"/>
      <c r="J13" s="105" t="s">
        <v>199</v>
      </c>
      <c r="K13" s="24"/>
      <c r="L13" s="87" t="s">
        <v>204</v>
      </c>
      <c r="M13" s="24"/>
      <c r="N13" s="105" t="s">
        <v>205</v>
      </c>
      <c r="O13" s="117"/>
      <c r="Q13" t="s">
        <v>281</v>
      </c>
      <c r="S13">
        <v>7884</v>
      </c>
      <c r="Y13" s="121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T13" s="121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</row>
    <row r="14" spans="2:82">
      <c r="B14" s="123" t="s">
        <v>18</v>
      </c>
      <c r="C14" s="24"/>
      <c r="D14" s="98" t="s">
        <v>196</v>
      </c>
      <c r="E14" s="24"/>
      <c r="F14" s="99">
        <v>1</v>
      </c>
      <c r="G14" s="24"/>
      <c r="H14" s="125">
        <f>D5</f>
        <v>100000</v>
      </c>
      <c r="I14" s="24"/>
      <c r="J14" s="85">
        <f>N70</f>
        <v>1799.8595699507694</v>
      </c>
      <c r="K14" s="24"/>
      <c r="L14" s="101">
        <f>(J14*D5)/10^6</f>
        <v>179.98595699507692</v>
      </c>
      <c r="M14" s="99"/>
      <c r="N14" s="101">
        <f>(L14*10^6)/D5</f>
        <v>1799.8595699507694</v>
      </c>
      <c r="O14" s="85"/>
      <c r="Y14" s="122" t="s">
        <v>194</v>
      </c>
      <c r="Z14" s="82"/>
      <c r="AA14" s="87" t="s">
        <v>1</v>
      </c>
      <c r="AB14" s="87"/>
      <c r="AC14" s="88" t="s">
        <v>197</v>
      </c>
      <c r="AD14" s="88"/>
      <c r="AE14" s="106" t="s">
        <v>198</v>
      </c>
      <c r="AF14" s="24"/>
      <c r="AG14" s="105" t="s">
        <v>199</v>
      </c>
      <c r="AH14" s="24"/>
      <c r="AI14" s="87" t="s">
        <v>204</v>
      </c>
      <c r="AJ14" s="24"/>
      <c r="AK14" s="105" t="s">
        <v>205</v>
      </c>
      <c r="AL14" s="117"/>
      <c r="AT14" s="122" t="s">
        <v>194</v>
      </c>
      <c r="AU14" s="82"/>
      <c r="AV14" s="87" t="s">
        <v>1</v>
      </c>
      <c r="AW14" s="87"/>
      <c r="AX14" s="88" t="s">
        <v>197</v>
      </c>
      <c r="AY14" s="88"/>
      <c r="AZ14" s="106" t="s">
        <v>198</v>
      </c>
      <c r="BA14" s="24"/>
      <c r="BB14" s="105" t="s">
        <v>199</v>
      </c>
      <c r="BC14" s="24"/>
      <c r="BD14" s="87" t="s">
        <v>204</v>
      </c>
      <c r="BE14" s="24"/>
      <c r="BF14" s="105" t="s">
        <v>205</v>
      </c>
      <c r="BG14" s="117"/>
    </row>
    <row r="15" spans="2:82">
      <c r="B15" s="123" t="s">
        <v>195</v>
      </c>
      <c r="C15" s="24"/>
      <c r="D15" s="94" t="s">
        <v>196</v>
      </c>
      <c r="E15" s="24"/>
      <c r="F15" s="93">
        <v>1</v>
      </c>
      <c r="G15" s="24"/>
      <c r="H15" s="119">
        <f>D5</f>
        <v>100000</v>
      </c>
      <c r="I15" s="24"/>
      <c r="J15" s="85"/>
      <c r="K15" s="24"/>
      <c r="L15" s="100">
        <f>L14</f>
        <v>179.98595699507692</v>
      </c>
      <c r="M15" s="93"/>
      <c r="N15" s="100">
        <f>N14</f>
        <v>1799.8595699507694</v>
      </c>
      <c r="O15" s="100"/>
      <c r="R15" t="s">
        <v>74</v>
      </c>
      <c r="S15" t="s">
        <v>75</v>
      </c>
      <c r="Y15" s="123" t="s">
        <v>18</v>
      </c>
      <c r="Z15" s="24"/>
      <c r="AA15" s="98" t="s">
        <v>196</v>
      </c>
      <c r="AB15" s="24"/>
      <c r="AC15" s="99">
        <v>1</v>
      </c>
      <c r="AD15" s="24"/>
      <c r="AE15" s="125">
        <f>AP18</f>
        <v>753360</v>
      </c>
      <c r="AF15" s="24"/>
      <c r="AG15" s="85">
        <f>AK72</f>
        <v>557.15750639193072</v>
      </c>
      <c r="AH15" s="24"/>
      <c r="AI15" s="101">
        <f>(AG15*AA6)/10^6</f>
        <v>419.74017901542493</v>
      </c>
      <c r="AJ15" s="99"/>
      <c r="AK15" s="101">
        <f>(AI15*10^6)/AA6</f>
        <v>557.15750639193072</v>
      </c>
      <c r="AL15" s="85"/>
      <c r="AM15" t="s">
        <v>329</v>
      </c>
      <c r="AT15" s="123" t="s">
        <v>18</v>
      </c>
      <c r="AU15" s="24"/>
      <c r="AV15" s="98" t="s">
        <v>196</v>
      </c>
      <c r="AW15" s="24"/>
      <c r="AX15" s="99">
        <v>1</v>
      </c>
      <c r="AY15" s="24"/>
      <c r="AZ15" s="125">
        <f>BL18</f>
        <v>793360</v>
      </c>
      <c r="BA15" s="24"/>
      <c r="BB15" s="85">
        <f>BF71</f>
        <v>656.58040234879786</v>
      </c>
      <c r="BC15" s="24"/>
      <c r="BD15" s="101">
        <f>(BB15*AV6)/10^6</f>
        <v>520.90462800744228</v>
      </c>
      <c r="BE15" s="99"/>
      <c r="BF15" s="101">
        <f>(BD15*10^6)/AV6</f>
        <v>656.58040234879786</v>
      </c>
      <c r="BG15" s="85"/>
      <c r="BI15" t="s">
        <v>329</v>
      </c>
    </row>
    <row r="16" spans="2:82">
      <c r="B16" s="109"/>
      <c r="C16" s="24"/>
      <c r="D16" s="8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t="s">
        <v>18</v>
      </c>
      <c r="R16">
        <v>12.5</v>
      </c>
      <c r="S16">
        <f>R16*$D$6</f>
        <v>100000</v>
      </c>
      <c r="Y16" s="123" t="s">
        <v>195</v>
      </c>
      <c r="Z16" s="24"/>
      <c r="AA16" s="94" t="s">
        <v>196</v>
      </c>
      <c r="AB16" s="24"/>
      <c r="AC16" s="93">
        <v>1</v>
      </c>
      <c r="AD16" s="24"/>
      <c r="AE16" s="119">
        <f>AA6</f>
        <v>753360</v>
      </c>
      <c r="AF16" s="24"/>
      <c r="AG16" s="85"/>
      <c r="AH16" s="24"/>
      <c r="AI16" s="100">
        <f>AI15</f>
        <v>419.74017901542493</v>
      </c>
      <c r="AJ16" s="93"/>
      <c r="AK16" s="100">
        <f>AK15</f>
        <v>557.15750639193072</v>
      </c>
      <c r="AL16" s="100"/>
      <c r="AM16" t="s">
        <v>330</v>
      </c>
      <c r="AT16" s="123" t="s">
        <v>195</v>
      </c>
      <c r="AU16" s="24"/>
      <c r="AV16" s="94" t="s">
        <v>196</v>
      </c>
      <c r="AW16" s="24"/>
      <c r="AX16" s="93">
        <v>1</v>
      </c>
      <c r="AY16" s="24"/>
      <c r="AZ16" s="119">
        <f>AV6</f>
        <v>793360</v>
      </c>
      <c r="BA16" s="24"/>
      <c r="BB16" s="85"/>
      <c r="BC16" s="24"/>
      <c r="BD16" s="100">
        <f>BD15</f>
        <v>520.90462800744228</v>
      </c>
      <c r="BE16" s="93"/>
      <c r="BF16" s="100">
        <f>BF15</f>
        <v>656.58040234879786</v>
      </c>
      <c r="BG16" s="100"/>
      <c r="BI16" t="s">
        <v>330</v>
      </c>
    </row>
    <row r="17" spans="2:67">
      <c r="B17" s="124" t="s">
        <v>207</v>
      </c>
      <c r="C17" s="24"/>
      <c r="D17" s="8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Y17" s="109"/>
      <c r="Z17" s="24"/>
      <c r="AA17" s="82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O17" t="s">
        <v>74</v>
      </c>
      <c r="AP17" t="s">
        <v>75</v>
      </c>
      <c r="AT17" s="109"/>
      <c r="AU17" s="24"/>
      <c r="AV17" s="82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K17" t="s">
        <v>74</v>
      </c>
      <c r="BL17" t="s">
        <v>75</v>
      </c>
    </row>
    <row r="18" spans="2:67">
      <c r="B18" s="123" t="s">
        <v>278</v>
      </c>
      <c r="C18" s="24"/>
      <c r="D18" s="98" t="s">
        <v>196</v>
      </c>
      <c r="E18" s="24"/>
      <c r="F18" s="101">
        <f>H18/D5</f>
        <v>0.33599999999999991</v>
      </c>
      <c r="G18" s="85"/>
      <c r="H18" s="101">
        <f>S21</f>
        <v>33599.999999999993</v>
      </c>
      <c r="I18" s="24"/>
      <c r="J18" s="85">
        <f>'NH3'!N72</f>
        <v>1239.1772127025574</v>
      </c>
      <c r="K18" s="24"/>
      <c r="L18" s="101">
        <f>(J18*H18)/10^6</f>
        <v>41.636354346805923</v>
      </c>
      <c r="M18" s="99"/>
      <c r="N18" s="101">
        <f>(L18*10^6)/D5</f>
        <v>416.36354346805922</v>
      </c>
      <c r="O18" s="115"/>
      <c r="Q18" s="143" t="s">
        <v>340</v>
      </c>
      <c r="Y18" s="124" t="s">
        <v>207</v>
      </c>
      <c r="Z18" s="24"/>
      <c r="AA18" s="130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t="s">
        <v>121</v>
      </c>
      <c r="AO18">
        <v>94.17</v>
      </c>
      <c r="AP18">
        <f>AO18*Summary!$B$38</f>
        <v>753360</v>
      </c>
      <c r="AT18" s="124" t="s">
        <v>207</v>
      </c>
      <c r="AU18" s="24"/>
      <c r="AV18" s="130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I18" t="s">
        <v>121</v>
      </c>
      <c r="BK18" s="12">
        <v>99.17</v>
      </c>
      <c r="BL18">
        <f>BK18*Summary!B$38</f>
        <v>793360</v>
      </c>
    </row>
    <row r="19" spans="2:67">
      <c r="B19" s="123" t="s">
        <v>235</v>
      </c>
      <c r="C19" s="24"/>
      <c r="D19" s="94" t="s">
        <v>196</v>
      </c>
      <c r="E19" s="24"/>
      <c r="F19" s="100">
        <f>F18</f>
        <v>0.33599999999999991</v>
      </c>
      <c r="G19" s="85"/>
      <c r="H19" s="100">
        <f>F19*D5</f>
        <v>33599.999999999993</v>
      </c>
      <c r="I19" s="24"/>
      <c r="J19" s="85"/>
      <c r="K19" s="24"/>
      <c r="L19" s="100">
        <f>L18</f>
        <v>41.636354346805923</v>
      </c>
      <c r="M19" s="93"/>
      <c r="N19" s="100">
        <f>N18</f>
        <v>416.36354346805922</v>
      </c>
      <c r="O19" s="85"/>
      <c r="Q19" t="s">
        <v>341</v>
      </c>
      <c r="R19">
        <v>14</v>
      </c>
      <c r="S19">
        <f>R19*$D$6</f>
        <v>112000</v>
      </c>
      <c r="Y19" s="123" t="s">
        <v>320</v>
      </c>
      <c r="Z19" s="24"/>
      <c r="AA19" s="82" t="s">
        <v>196</v>
      </c>
      <c r="AB19" s="24"/>
      <c r="AC19" s="85">
        <f>AE19/AA6</f>
        <v>3.0264415418923225E-2</v>
      </c>
      <c r="AD19" s="85"/>
      <c r="AE19" s="85">
        <f>AP19</f>
        <v>22800</v>
      </c>
      <c r="AF19" s="24"/>
      <c r="AG19" s="85">
        <f>'NH3'!N72</f>
        <v>1239.1772127025574</v>
      </c>
      <c r="AH19" s="24"/>
      <c r="AI19" s="85">
        <f>(AG19*AE19)/10^6</f>
        <v>28.25324044961831</v>
      </c>
      <c r="AJ19" s="24"/>
      <c r="AK19" s="85">
        <f>(AI19*10^6)/AA$6</f>
        <v>37.502973942893583</v>
      </c>
      <c r="AL19" s="85"/>
      <c r="AM19" t="s">
        <v>122</v>
      </c>
      <c r="AO19" s="12">
        <v>2.85</v>
      </c>
      <c r="AP19">
        <f>AO19*Summary!$B$38</f>
        <v>22800</v>
      </c>
      <c r="AT19" s="123" t="s">
        <v>320</v>
      </c>
      <c r="AU19" s="24"/>
      <c r="AV19" s="82" t="s">
        <v>196</v>
      </c>
      <c r="AW19" s="24"/>
      <c r="AX19" s="85">
        <v>0</v>
      </c>
      <c r="AY19" s="85"/>
      <c r="AZ19" s="85">
        <v>0</v>
      </c>
      <c r="BA19" s="24"/>
      <c r="BB19" s="85">
        <f>'NH3'!N72</f>
        <v>1239.1772127025574</v>
      </c>
      <c r="BC19" s="24"/>
      <c r="BD19" s="85">
        <f>(BB19*AZ19)/10^6</f>
        <v>0</v>
      </c>
      <c r="BE19" s="24"/>
      <c r="BF19" s="85">
        <f>(BD19*10^6)/AV$6</f>
        <v>0</v>
      </c>
      <c r="BG19" s="85"/>
      <c r="BI19" t="s">
        <v>122</v>
      </c>
      <c r="BK19" s="12">
        <v>0</v>
      </c>
      <c r="BL19">
        <f>BK19*Summary!B$38</f>
        <v>0</v>
      </c>
    </row>
    <row r="20" spans="2:67">
      <c r="B20" s="109"/>
      <c r="C20" s="24"/>
      <c r="D20" s="8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93"/>
      <c r="Q20" t="s">
        <v>342</v>
      </c>
      <c r="R20">
        <v>9.8000000000000007</v>
      </c>
      <c r="S20">
        <f>R20*$D$6</f>
        <v>78400</v>
      </c>
      <c r="Y20" s="131" t="s">
        <v>313</v>
      </c>
      <c r="AA20" s="82" t="s">
        <v>196</v>
      </c>
      <c r="AB20" s="24"/>
      <c r="AC20" s="24">
        <f>AE20/AA6</f>
        <v>0.32500000000000001</v>
      </c>
      <c r="AD20" s="24"/>
      <c r="AE20" s="85">
        <f>AP20</f>
        <v>244842</v>
      </c>
      <c r="AF20" s="24"/>
      <c r="AG20" s="85">
        <v>0</v>
      </c>
      <c r="AI20" s="136">
        <f>(AG20*AE20)/10^6</f>
        <v>0</v>
      </c>
      <c r="AJ20" s="24"/>
      <c r="AK20" s="136">
        <f>(AI20*10^6)/AA$6</f>
        <v>0</v>
      </c>
      <c r="AM20" t="s">
        <v>145</v>
      </c>
      <c r="AO20" s="12">
        <f>0.325*AO18</f>
        <v>30.605250000000002</v>
      </c>
      <c r="AP20">
        <f>AO20*Summary!$B$38</f>
        <v>244842</v>
      </c>
      <c r="AT20" s="131" t="s">
        <v>313</v>
      </c>
      <c r="AV20" s="130" t="s">
        <v>196</v>
      </c>
      <c r="AW20" s="92"/>
      <c r="AX20" s="92">
        <f>AZ20/AV6</f>
        <v>3.3000000000000002E-2</v>
      </c>
      <c r="AY20" s="92"/>
      <c r="AZ20" s="133">
        <f>BL20</f>
        <v>26180.880000000001</v>
      </c>
      <c r="BA20" s="92"/>
      <c r="BB20" s="115">
        <v>0</v>
      </c>
      <c r="BD20" s="129">
        <f>(BB20*AZ20)/10^6</f>
        <v>0</v>
      </c>
      <c r="BE20" s="92"/>
      <c r="BF20" s="129">
        <f>(BD20*10^6)/AV$6</f>
        <v>0</v>
      </c>
      <c r="BI20" t="s">
        <v>145</v>
      </c>
      <c r="BK20" s="12">
        <f>0.033*BK18</f>
        <v>3.2726100000000002</v>
      </c>
      <c r="BL20">
        <f>BK20*Summary!B$38</f>
        <v>26180.880000000001</v>
      </c>
    </row>
    <row r="21" spans="2:67">
      <c r="B21" s="124" t="s">
        <v>208</v>
      </c>
      <c r="C21" s="24"/>
      <c r="D21" s="8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Q21" t="s">
        <v>343</v>
      </c>
      <c r="R21">
        <f>R19-R20</f>
        <v>4.1999999999999993</v>
      </c>
      <c r="S21">
        <f>R21*$D$6</f>
        <v>33599.999999999993</v>
      </c>
      <c r="Y21" s="123" t="s">
        <v>235</v>
      </c>
      <c r="Z21" s="24"/>
      <c r="AA21" s="94" t="s">
        <v>196</v>
      </c>
      <c r="AB21" s="93"/>
      <c r="AC21" s="100">
        <f>AC19+AC20</f>
        <v>0.35526441541892323</v>
      </c>
      <c r="AD21" s="100"/>
      <c r="AE21" s="100">
        <f>AC21*AA6</f>
        <v>267642</v>
      </c>
      <c r="AF21" s="93"/>
      <c r="AG21" s="100"/>
      <c r="AH21" s="24"/>
      <c r="AI21" s="100">
        <f>AI19</f>
        <v>28.25324044961831</v>
      </c>
      <c r="AJ21" s="93"/>
      <c r="AK21" s="100">
        <f>AK19</f>
        <v>37.502973942893583</v>
      </c>
      <c r="AL21" s="85"/>
      <c r="AM21" t="s">
        <v>124</v>
      </c>
      <c r="AO21" s="12">
        <v>0</v>
      </c>
      <c r="AP21">
        <f>AO21*Summary!$B$38</f>
        <v>0</v>
      </c>
      <c r="AT21" s="86" t="s">
        <v>322</v>
      </c>
      <c r="AU21" s="24"/>
      <c r="AV21" s="98" t="s">
        <v>196</v>
      </c>
      <c r="AW21" s="24"/>
      <c r="AX21" s="99">
        <f>AZ21/AV6</f>
        <v>0.23799999999999999</v>
      </c>
      <c r="AY21" s="24"/>
      <c r="AZ21" s="125">
        <f>BL21</f>
        <v>188819.68</v>
      </c>
      <c r="BA21" s="24"/>
      <c r="BB21" s="85">
        <v>0</v>
      </c>
      <c r="BC21" s="24"/>
      <c r="BD21" s="101">
        <f>(BB21*AZ21)/10^6</f>
        <v>0</v>
      </c>
      <c r="BE21" s="99"/>
      <c r="BF21" s="101">
        <f>(BD21*10^6)/AV$6</f>
        <v>0</v>
      </c>
      <c r="BG21" s="24"/>
      <c r="BI21" t="s">
        <v>124</v>
      </c>
      <c r="BK21" s="12">
        <f>0.238*(BK20/0.033)</f>
        <v>23.602460000000001</v>
      </c>
      <c r="BL21">
        <f>BK21*Summary!B$38</f>
        <v>188819.68</v>
      </c>
    </row>
    <row r="22" spans="2:67">
      <c r="B22" s="123" t="s">
        <v>265</v>
      </c>
      <c r="C22" s="24"/>
      <c r="D22" s="82" t="s">
        <v>196</v>
      </c>
      <c r="E22" s="24"/>
      <c r="F22" s="85">
        <f>'Intermediate Calculations'!$M$5/'Intermediate Calculations'!$M$4</f>
        <v>0.73276723276723266</v>
      </c>
      <c r="G22" s="85"/>
      <c r="H22" s="89">
        <f>F22*D5</f>
        <v>73276.723276723264</v>
      </c>
      <c r="I22" s="24"/>
      <c r="J22" s="85">
        <f>'Direct Air Capture'!N72</f>
        <v>1096.9282208143736</v>
      </c>
      <c r="K22" s="24"/>
      <c r="L22" s="85">
        <f>(J22/10^6)*H22</f>
        <v>80.379305691043243</v>
      </c>
      <c r="M22" s="24"/>
      <c r="N22" s="85">
        <f>(L22*10^6)/D5</f>
        <v>803.79305691043248</v>
      </c>
      <c r="O22" s="85"/>
      <c r="Y22" s="109"/>
      <c r="Z22" s="24"/>
      <c r="AA22" s="82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93"/>
      <c r="AM22" t="s">
        <v>125</v>
      </c>
      <c r="AO22" s="12">
        <f>0.693*(AO20/(1-0.693))</f>
        <v>69.086118078175886</v>
      </c>
      <c r="AP22" s="7">
        <f>AO22*Summary!$B$38</f>
        <v>552688.94462540711</v>
      </c>
      <c r="AT22" s="121" t="s">
        <v>235</v>
      </c>
      <c r="AU22" s="93"/>
      <c r="AV22" s="94" t="s">
        <v>196</v>
      </c>
      <c r="AW22" s="93"/>
      <c r="AX22" s="100">
        <f>AX19+AX20</f>
        <v>3.3000000000000002E-2</v>
      </c>
      <c r="AY22" s="100"/>
      <c r="AZ22" s="100">
        <f>AX22*AV6</f>
        <v>26180.880000000001</v>
      </c>
      <c r="BA22" s="93"/>
      <c r="BB22" s="100"/>
      <c r="BC22" s="93"/>
      <c r="BD22" s="100">
        <f>BD19</f>
        <v>0</v>
      </c>
      <c r="BE22" s="93"/>
      <c r="BF22" s="100">
        <f>BF19</f>
        <v>0</v>
      </c>
      <c r="BG22" s="100"/>
      <c r="BI22" t="s">
        <v>125</v>
      </c>
      <c r="BK22" s="12">
        <f>0.73*(BK20/0.033)</f>
        <v>72.394099999999995</v>
      </c>
      <c r="BL22">
        <f>BK22*Summary!B$38</f>
        <v>579152.79999999993</v>
      </c>
    </row>
    <row r="23" spans="2:67">
      <c r="B23" s="123" t="s">
        <v>21</v>
      </c>
      <c r="C23" s="24"/>
      <c r="D23" s="98" t="s">
        <v>196</v>
      </c>
      <c r="E23" s="93"/>
      <c r="F23" s="101">
        <f>H23/D5</f>
        <v>1.1200000000000001</v>
      </c>
      <c r="G23" s="100"/>
      <c r="H23" s="125">
        <f>R19*D6</f>
        <v>112000</v>
      </c>
      <c r="I23" s="93"/>
      <c r="J23" s="129">
        <f>'NH3'!N72</f>
        <v>1239.1772127025574</v>
      </c>
      <c r="K23" s="128"/>
      <c r="L23" s="101">
        <f>(J23/10^6)*H23</f>
        <v>138.78784782268642</v>
      </c>
      <c r="M23" s="99"/>
      <c r="N23" s="101">
        <f>(L23*10^6)/D5</f>
        <v>1387.878478226864</v>
      </c>
      <c r="O23" s="100"/>
      <c r="Q23" s="143" t="s">
        <v>282</v>
      </c>
      <c r="Y23" s="124" t="s">
        <v>208</v>
      </c>
      <c r="Z23" s="24"/>
      <c r="AA23" s="82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t="s">
        <v>314</v>
      </c>
      <c r="AO23" s="12">
        <v>27.021000000000001</v>
      </c>
      <c r="AP23">
        <f>AO23*Summary!$B$38</f>
        <v>216168</v>
      </c>
      <c r="AT23" s="109"/>
      <c r="AU23" s="24"/>
      <c r="AV23" s="82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93"/>
      <c r="BI23" t="s">
        <v>314</v>
      </c>
      <c r="BK23" s="12">
        <v>27.021000000000001</v>
      </c>
      <c r="BL23">
        <f>BK23*Summary!B$38</f>
        <v>216168</v>
      </c>
    </row>
    <row r="24" spans="2:67">
      <c r="B24" s="109"/>
      <c r="C24" s="24" t="s">
        <v>254</v>
      </c>
      <c r="D24" s="93"/>
      <c r="E24" s="24"/>
      <c r="F24" s="100">
        <f>F22+F23</f>
        <v>1.8527672327672327</v>
      </c>
      <c r="G24" s="24"/>
      <c r="H24" s="119">
        <f>H22+H23</f>
        <v>185276.72327672326</v>
      </c>
      <c r="I24" s="24"/>
      <c r="J24" s="24"/>
      <c r="K24" s="24"/>
      <c r="L24" s="100">
        <f>L22+L23</f>
        <v>219.16715351372966</v>
      </c>
      <c r="M24" s="93"/>
      <c r="N24" s="100">
        <f>N22+N23</f>
        <v>2191.6715351372964</v>
      </c>
      <c r="O24" s="24"/>
      <c r="Q24" t="s">
        <v>283</v>
      </c>
      <c r="U24" s="7">
        <v>13.1</v>
      </c>
      <c r="Y24" s="123" t="s">
        <v>314</v>
      </c>
      <c r="Z24" s="24"/>
      <c r="AA24" s="130" t="s">
        <v>196</v>
      </c>
      <c r="AB24" s="92"/>
      <c r="AC24" s="115">
        <f>AE24/AA6</f>
        <v>0.28693851545078053</v>
      </c>
      <c r="AD24" s="115"/>
      <c r="AE24" s="115">
        <f>AP23</f>
        <v>216168</v>
      </c>
      <c r="AF24" s="92"/>
      <c r="AG24" s="115">
        <f>AO55</f>
        <v>651.04166666666674</v>
      </c>
      <c r="AH24" s="92"/>
      <c r="AI24" s="115">
        <f>(AG24/10^6)*AE24</f>
        <v>140.73437500000003</v>
      </c>
      <c r="AJ24" s="92"/>
      <c r="AK24" s="115">
        <f>(AI24*10^6)/AA6</f>
        <v>186.80892932993527</v>
      </c>
      <c r="AL24" s="85"/>
      <c r="AM24" t="s">
        <v>48</v>
      </c>
      <c r="AO24">
        <v>22.1</v>
      </c>
      <c r="AP24">
        <f>AO24*Summary!$B$38</f>
        <v>176800</v>
      </c>
      <c r="AT24" s="124" t="s">
        <v>208</v>
      </c>
      <c r="AU24" s="24"/>
      <c r="AV24" s="82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I24" t="s">
        <v>48</v>
      </c>
      <c r="BK24">
        <v>22.1</v>
      </c>
      <c r="BL24">
        <f>BK24*Summary!B$38</f>
        <v>176800</v>
      </c>
    </row>
    <row r="25" spans="2:67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t="s">
        <v>284</v>
      </c>
      <c r="U25" s="7">
        <v>103</v>
      </c>
      <c r="Y25" s="131" t="s">
        <v>321</v>
      </c>
      <c r="AA25" s="98" t="s">
        <v>196</v>
      </c>
      <c r="AB25" s="24"/>
      <c r="AC25" s="101">
        <f>AE25/AA6</f>
        <v>0.23468195816077306</v>
      </c>
      <c r="AD25" s="24"/>
      <c r="AE25" s="99">
        <f>AP24</f>
        <v>176800</v>
      </c>
      <c r="AF25" s="24"/>
      <c r="AG25" s="24">
        <f>Summary!B30</f>
        <v>0.2</v>
      </c>
      <c r="AH25" s="24"/>
      <c r="AI25" s="101">
        <f>(AG25/10^6)*AE25</f>
        <v>3.5360000000000003E-2</v>
      </c>
      <c r="AJ25" s="99"/>
      <c r="AK25" s="101">
        <f>(AI25*10^6)/AA6</f>
        <v>4.6936391632154614E-2</v>
      </c>
      <c r="AT25" s="123" t="s">
        <v>314</v>
      </c>
      <c r="AU25" s="24"/>
      <c r="AV25" s="98" t="s">
        <v>196</v>
      </c>
      <c r="AW25" s="24"/>
      <c r="AX25" s="101">
        <f>AZ25/AV6</f>
        <v>0.27247151356256932</v>
      </c>
      <c r="AY25" s="85"/>
      <c r="AZ25" s="125">
        <f>BL23</f>
        <v>216168</v>
      </c>
      <c r="BA25" s="24"/>
      <c r="BB25" s="85">
        <f>AO55</f>
        <v>651.04166666666674</v>
      </c>
      <c r="BC25" s="24"/>
      <c r="BD25" s="101">
        <f>(BB25/10^6)*AZ25</f>
        <v>140.73437500000003</v>
      </c>
      <c r="BE25" s="99"/>
      <c r="BF25" s="101">
        <f>(BD25*10^6)/AV6</f>
        <v>177.39030830896445</v>
      </c>
      <c r="BG25" s="85"/>
    </row>
    <row r="26" spans="2:67">
      <c r="B26" s="109"/>
      <c r="C26" s="24"/>
      <c r="D26" s="24"/>
      <c r="E26" s="24"/>
      <c r="F26" s="85"/>
      <c r="G26" s="85"/>
      <c r="H26" s="24" t="s">
        <v>253</v>
      </c>
      <c r="I26" s="24"/>
      <c r="J26" s="24"/>
      <c r="K26" s="24"/>
      <c r="L26" s="85">
        <f>L15+L19-L23</f>
        <v>82.834463519196419</v>
      </c>
      <c r="M26" s="24"/>
      <c r="N26" s="85">
        <f>N15+N19-N24</f>
        <v>24.551578281532329</v>
      </c>
      <c r="O26" s="85"/>
      <c r="Q26" t="s">
        <v>67</v>
      </c>
      <c r="U26" s="7">
        <f>(U24*10^6)/U25</f>
        <v>127184.46601941748</v>
      </c>
      <c r="Y26" s="109"/>
      <c r="Z26" s="24" t="s">
        <v>254</v>
      </c>
      <c r="AA26" s="93"/>
      <c r="AB26" s="93"/>
      <c r="AC26" s="93"/>
      <c r="AD26" s="93"/>
      <c r="AE26" s="100">
        <f>AE24+AE25</f>
        <v>392968</v>
      </c>
      <c r="AF26" s="93"/>
      <c r="AG26" s="93"/>
      <c r="AH26" s="93"/>
      <c r="AI26" s="100">
        <f>AI24+AI25</f>
        <v>140.76973500000003</v>
      </c>
      <c r="AJ26" s="93"/>
      <c r="AK26" s="100">
        <f>AK24+AK25</f>
        <v>186.85586572156743</v>
      </c>
      <c r="AL26" s="24"/>
      <c r="AM26" t="s">
        <v>331</v>
      </c>
      <c r="AT26" s="109"/>
      <c r="AU26" s="24" t="s">
        <v>254</v>
      </c>
      <c r="AV26" s="93"/>
      <c r="AW26" s="24"/>
      <c r="AX26" s="93"/>
      <c r="AY26" s="24"/>
      <c r="AZ26" s="93"/>
      <c r="BA26" s="24"/>
      <c r="BB26" s="24"/>
      <c r="BC26" s="24"/>
      <c r="BD26" s="100">
        <f>BD25</f>
        <v>140.73437500000003</v>
      </c>
      <c r="BE26" s="93"/>
      <c r="BF26" s="100">
        <f>BF25</f>
        <v>177.39030830896445</v>
      </c>
      <c r="BG26" s="24"/>
    </row>
    <row r="27" spans="2:67">
      <c r="B27" s="110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Q27" t="s">
        <v>285</v>
      </c>
      <c r="U27" s="7">
        <f>U26/S13</f>
        <v>16.131971844167616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t="s">
        <v>332</v>
      </c>
      <c r="AO27">
        <v>8.9</v>
      </c>
      <c r="AP27">
        <f>AO27*Summary!$B$38</f>
        <v>71200</v>
      </c>
      <c r="AT27" s="109"/>
      <c r="AU27" s="24"/>
      <c r="AV27" s="24"/>
      <c r="AW27" s="24"/>
      <c r="AX27" s="85"/>
      <c r="AY27" s="85"/>
      <c r="AZ27" s="24" t="s">
        <v>253</v>
      </c>
      <c r="BA27" s="24"/>
      <c r="BB27" s="24"/>
      <c r="BC27" s="24"/>
      <c r="BD27" s="85">
        <f>BD16+BD22-BD26</f>
        <v>380.17025300744228</v>
      </c>
      <c r="BE27" s="24"/>
      <c r="BF27" s="85">
        <f>BF16+BF22-BF26</f>
        <v>479.19009403983341</v>
      </c>
      <c r="BG27" s="85"/>
      <c r="BI27" t="s">
        <v>331</v>
      </c>
    </row>
    <row r="28" spans="2:67">
      <c r="B28" s="97" t="s">
        <v>200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Y28" s="109"/>
      <c r="Z28" s="24"/>
      <c r="AA28" s="24"/>
      <c r="AB28" s="24"/>
      <c r="AC28" s="85"/>
      <c r="AD28" s="85"/>
      <c r="AE28" s="24" t="s">
        <v>253</v>
      </c>
      <c r="AF28" s="24"/>
      <c r="AG28" s="24"/>
      <c r="AH28" s="24"/>
      <c r="AI28" s="85">
        <f>AI16+AI21-AI26</f>
        <v>307.22368446504322</v>
      </c>
      <c r="AJ28" s="24"/>
      <c r="AK28" s="85">
        <f>AK16+AK21-AK26</f>
        <v>407.80461461325694</v>
      </c>
      <c r="AL28" s="85"/>
      <c r="AM28" t="s">
        <v>333</v>
      </c>
      <c r="AO28" s="4">
        <v>10.63</v>
      </c>
      <c r="AP28">
        <f>AO28*Summary!$B$38</f>
        <v>85040</v>
      </c>
      <c r="AT28" s="110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I28" t="s">
        <v>332</v>
      </c>
      <c r="BK28">
        <v>17.475000000000001</v>
      </c>
      <c r="BL28">
        <f>BK28*Summary!B$38</f>
        <v>139800</v>
      </c>
    </row>
    <row r="29" spans="2:67">
      <c r="B29" s="108"/>
      <c r="C29" s="93"/>
      <c r="D29" s="96" t="s">
        <v>1</v>
      </c>
      <c r="E29" s="96"/>
      <c r="F29" s="96" t="s">
        <v>197</v>
      </c>
      <c r="G29" s="96"/>
      <c r="H29" s="96" t="s">
        <v>198</v>
      </c>
      <c r="I29" s="94"/>
      <c r="J29" s="118" t="s">
        <v>199</v>
      </c>
      <c r="K29" s="94"/>
      <c r="L29" s="96" t="s">
        <v>204</v>
      </c>
      <c r="M29" s="94"/>
      <c r="N29" s="96" t="s">
        <v>205</v>
      </c>
      <c r="O29" s="96"/>
      <c r="Y29" s="110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T29" s="140" t="s">
        <v>200</v>
      </c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I29" t="s">
        <v>333</v>
      </c>
      <c r="BK29" s="4">
        <v>10.63</v>
      </c>
      <c r="BL29">
        <f>BK29*Summary!B$38</f>
        <v>85040</v>
      </c>
    </row>
    <row r="30" spans="2:67">
      <c r="B30" s="109" t="s">
        <v>32</v>
      </c>
      <c r="C30" s="24"/>
      <c r="D30" s="82" t="s">
        <v>202</v>
      </c>
      <c r="E30" s="24"/>
      <c r="F30" s="85">
        <v>0</v>
      </c>
      <c r="G30" s="85"/>
      <c r="H30" s="85">
        <v>0</v>
      </c>
      <c r="I30" s="85"/>
      <c r="J30" s="85">
        <v>0</v>
      </c>
      <c r="K30" s="85"/>
      <c r="L30" s="101">
        <v>0</v>
      </c>
      <c r="M30" s="101"/>
      <c r="N30" s="101">
        <v>0</v>
      </c>
      <c r="O30" s="115"/>
      <c r="Y30" s="138" t="s">
        <v>200</v>
      </c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R30" s="6"/>
      <c r="AS30" s="6"/>
      <c r="AT30" s="108"/>
      <c r="AU30" s="93"/>
      <c r="AV30" s="96" t="s">
        <v>1</v>
      </c>
      <c r="AW30" s="96"/>
      <c r="AX30" s="96" t="s">
        <v>197</v>
      </c>
      <c r="AY30" s="96"/>
      <c r="AZ30" s="96" t="s">
        <v>198</v>
      </c>
      <c r="BA30" s="94"/>
      <c r="BB30" s="118" t="s">
        <v>199</v>
      </c>
      <c r="BC30" s="94"/>
      <c r="BD30" s="96" t="s">
        <v>204</v>
      </c>
      <c r="BE30" s="94"/>
      <c r="BF30" s="96" t="s">
        <v>205</v>
      </c>
      <c r="BG30" s="96"/>
      <c r="BN30" s="6"/>
      <c r="BO30" s="6"/>
    </row>
    <row r="31" spans="2:67">
      <c r="B31" s="109"/>
      <c r="C31" s="24" t="s">
        <v>203</v>
      </c>
      <c r="D31" s="24"/>
      <c r="E31" s="24"/>
      <c r="F31" s="24"/>
      <c r="G31" s="24"/>
      <c r="H31" s="24"/>
      <c r="I31" s="24"/>
      <c r="J31" s="24"/>
      <c r="K31" s="24"/>
      <c r="L31" s="100">
        <f>SUM(L30:L30)</f>
        <v>0</v>
      </c>
      <c r="M31" s="93"/>
      <c r="N31" s="100">
        <f>SUM(N30:N30)</f>
        <v>0</v>
      </c>
      <c r="O31" s="85"/>
      <c r="Y31" s="108"/>
      <c r="Z31" s="93"/>
      <c r="AA31" s="96" t="s">
        <v>1</v>
      </c>
      <c r="AB31" s="96"/>
      <c r="AC31" s="96" t="s">
        <v>197</v>
      </c>
      <c r="AD31" s="96"/>
      <c r="AE31" s="96" t="s">
        <v>198</v>
      </c>
      <c r="AF31" s="94"/>
      <c r="AG31" s="118" t="s">
        <v>199</v>
      </c>
      <c r="AH31" s="94"/>
      <c r="AI31" s="96" t="s">
        <v>204</v>
      </c>
      <c r="AJ31" s="94"/>
      <c r="AK31" s="96" t="s">
        <v>205</v>
      </c>
      <c r="AL31" s="96"/>
      <c r="AM31" t="s">
        <v>326</v>
      </c>
      <c r="AR31" s="6"/>
      <c r="AS31" s="6"/>
      <c r="AT31" s="109" t="s">
        <v>317</v>
      </c>
      <c r="AU31" s="24"/>
      <c r="AV31" s="82" t="s">
        <v>335</v>
      </c>
      <c r="AW31" s="24"/>
      <c r="AX31" s="85">
        <v>0</v>
      </c>
      <c r="AY31" s="85"/>
      <c r="AZ31" s="85">
        <v>0</v>
      </c>
      <c r="BA31" s="85"/>
      <c r="BB31" s="85">
        <v>0</v>
      </c>
      <c r="BC31" s="85"/>
      <c r="BD31" s="101">
        <f>BM44</f>
        <v>1.8768</v>
      </c>
      <c r="BE31" s="101"/>
      <c r="BF31" s="101">
        <f>(BD31*10^6)/AV6</f>
        <v>2.3656347685792074</v>
      </c>
      <c r="BG31" s="115"/>
      <c r="BI31" t="s">
        <v>326</v>
      </c>
      <c r="BN31" s="6"/>
      <c r="BO31" s="6"/>
    </row>
    <row r="32" spans="2:67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Y32" s="109" t="s">
        <v>317</v>
      </c>
      <c r="Z32" s="24"/>
      <c r="AA32" s="82" t="s">
        <v>202</v>
      </c>
      <c r="AB32" s="24"/>
      <c r="AC32" s="85">
        <v>0</v>
      </c>
      <c r="AD32" s="85"/>
      <c r="AE32" s="85">
        <v>0</v>
      </c>
      <c r="AF32" s="85"/>
      <c r="AG32" s="85">
        <v>0</v>
      </c>
      <c r="AH32" s="85"/>
      <c r="AI32" s="101">
        <f>AQ44</f>
        <v>1.8768</v>
      </c>
      <c r="AJ32" s="101"/>
      <c r="AK32" s="101">
        <f>(AI32*10^6)/AA6</f>
        <v>2.4912392481682066</v>
      </c>
      <c r="AL32" s="115"/>
      <c r="AM32">
        <v>1.1499999999999999</v>
      </c>
      <c r="AN32" t="s">
        <v>324</v>
      </c>
      <c r="AT32" s="109"/>
      <c r="AU32" s="24" t="s">
        <v>203</v>
      </c>
      <c r="AV32" s="24"/>
      <c r="AW32" s="24"/>
      <c r="AX32" s="24"/>
      <c r="AY32" s="24"/>
      <c r="AZ32" s="24"/>
      <c r="BA32" s="24"/>
      <c r="BB32" s="24"/>
      <c r="BC32" s="24"/>
      <c r="BD32" s="100">
        <f>SUM(BD31:BD31)</f>
        <v>1.8768</v>
      </c>
      <c r="BE32" s="93"/>
      <c r="BF32" s="100">
        <f>SUM(BF31:BF31)</f>
        <v>2.3656347685792074</v>
      </c>
      <c r="BG32" s="85"/>
      <c r="BI32">
        <v>1.1499999999999999</v>
      </c>
      <c r="BJ32" t="s">
        <v>324</v>
      </c>
    </row>
    <row r="33" spans="2:65">
      <c r="B33" s="97" t="s">
        <v>206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Q33" t="s">
        <v>192</v>
      </c>
      <c r="Y33" s="109"/>
      <c r="Z33" s="24" t="s">
        <v>203</v>
      </c>
      <c r="AA33" s="24"/>
      <c r="AB33" s="24"/>
      <c r="AC33" s="24"/>
      <c r="AD33" s="24"/>
      <c r="AE33" s="24"/>
      <c r="AF33" s="24"/>
      <c r="AG33" s="24"/>
      <c r="AH33" s="24"/>
      <c r="AI33" s="100">
        <f>SUM(AI32:AI32)</f>
        <v>1.8768</v>
      </c>
      <c r="AJ33" s="93"/>
      <c r="AK33" s="100">
        <f>SUM(AK32:AK32)</f>
        <v>2.4912392481682066</v>
      </c>
      <c r="AL33" s="85"/>
      <c r="AM33" s="1">
        <v>1.36</v>
      </c>
      <c r="AN33" t="s">
        <v>325</v>
      </c>
      <c r="AP33" s="142" t="s">
        <v>327</v>
      </c>
      <c r="AQ33" t="s">
        <v>328</v>
      </c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I33" s="1">
        <v>1.36</v>
      </c>
      <c r="BJ33" t="s">
        <v>325</v>
      </c>
      <c r="BL33" s="142" t="s">
        <v>327</v>
      </c>
      <c r="BM33" t="s">
        <v>328</v>
      </c>
    </row>
    <row r="34" spans="2:65">
      <c r="B34" s="93"/>
      <c r="C34" s="93"/>
      <c r="D34" s="96" t="s">
        <v>1</v>
      </c>
      <c r="E34" s="96"/>
      <c r="F34" s="96" t="s">
        <v>197</v>
      </c>
      <c r="G34" s="96"/>
      <c r="H34" s="96" t="s">
        <v>198</v>
      </c>
      <c r="I34" s="94"/>
      <c r="J34" s="118" t="s">
        <v>199</v>
      </c>
      <c r="K34" s="94"/>
      <c r="L34" s="96" t="s">
        <v>204</v>
      </c>
      <c r="M34" s="94"/>
      <c r="N34" s="96" t="s">
        <v>205</v>
      </c>
      <c r="O34" s="96"/>
      <c r="Q34" t="s">
        <v>266</v>
      </c>
      <c r="S34" t="s">
        <v>275</v>
      </c>
      <c r="T34" t="s">
        <v>182</v>
      </c>
      <c r="U34" t="s">
        <v>276</v>
      </c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t="s">
        <v>120</v>
      </c>
      <c r="AP34" s="4">
        <v>493</v>
      </c>
      <c r="AQ34" s="4">
        <f>AP34*$BI$32*$BI$33</f>
        <v>771.05199999999991</v>
      </c>
      <c r="AT34" s="140" t="s">
        <v>206</v>
      </c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I34" t="s">
        <v>120</v>
      </c>
      <c r="BL34" s="4">
        <f>575</f>
        <v>575</v>
      </c>
      <c r="BM34" s="4">
        <f>BL34*$BI$32*$BI$33</f>
        <v>899.30000000000007</v>
      </c>
    </row>
    <row r="35" spans="2:65">
      <c r="B35" s="24" t="s">
        <v>30</v>
      </c>
      <c r="C35" s="24"/>
      <c r="D35" s="82" t="s">
        <v>29</v>
      </c>
      <c r="E35" s="24"/>
      <c r="F35" s="85">
        <f>H35/D5</f>
        <v>1.2905577475334093</v>
      </c>
      <c r="G35" s="24"/>
      <c r="H35" s="85">
        <f>U27*D6</f>
        <v>129055.77475334093</v>
      </c>
      <c r="I35" s="24"/>
      <c r="J35" s="85">
        <f>Summary!B28*1000</f>
        <v>50</v>
      </c>
      <c r="K35" s="24"/>
      <c r="L35" s="85">
        <f>(J35*H35)/10^6</f>
        <v>6.4527887376670465</v>
      </c>
      <c r="M35" s="24"/>
      <c r="N35" s="85">
        <f>(L35*10^6)/D5</f>
        <v>64.527887376670463</v>
      </c>
      <c r="O35" s="115"/>
      <c r="Q35" t="s">
        <v>271</v>
      </c>
      <c r="S35" s="7">
        <v>0.9</v>
      </c>
      <c r="T35" s="7">
        <f>S35*$J$85</f>
        <v>2.8800000000000003</v>
      </c>
      <c r="U35" s="7">
        <f>$J$89*T35</f>
        <v>5.2416</v>
      </c>
      <c r="Y35" s="138" t="s">
        <v>206</v>
      </c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t="s">
        <v>92</v>
      </c>
      <c r="AP35" s="4">
        <v>53.6</v>
      </c>
      <c r="AQ35" s="4">
        <f>AP35*$BI$32*$BI$33</f>
        <v>83.830399999999997</v>
      </c>
      <c r="AT35" s="93"/>
      <c r="AU35" s="93"/>
      <c r="AV35" s="96" t="s">
        <v>1</v>
      </c>
      <c r="AW35" s="96"/>
      <c r="AX35" s="96" t="s">
        <v>197</v>
      </c>
      <c r="AY35" s="96"/>
      <c r="AZ35" s="96" t="s">
        <v>198</v>
      </c>
      <c r="BA35" s="94"/>
      <c r="BB35" s="118" t="s">
        <v>199</v>
      </c>
      <c r="BC35" s="94"/>
      <c r="BD35" s="96" t="s">
        <v>204</v>
      </c>
      <c r="BE35" s="94"/>
      <c r="BF35" s="96" t="s">
        <v>205</v>
      </c>
      <c r="BG35" s="96"/>
      <c r="BI35" t="s">
        <v>92</v>
      </c>
      <c r="BL35" s="4">
        <f>66.01</f>
        <v>66.010000000000005</v>
      </c>
      <c r="BM35" s="4">
        <f>BL35*$BI$32*$BI$33</f>
        <v>103.23964000000001</v>
      </c>
    </row>
    <row r="36" spans="2:65">
      <c r="B36" t="s">
        <v>279</v>
      </c>
      <c r="D36" s="82" t="s">
        <v>29</v>
      </c>
      <c r="E36" s="24"/>
      <c r="F36" s="24">
        <f>H36/D5</f>
        <v>-2</v>
      </c>
      <c r="G36" s="24"/>
      <c r="H36" s="24">
        <f>-25*D6</f>
        <v>-200000</v>
      </c>
      <c r="I36" s="24"/>
      <c r="J36" s="85">
        <f>Summary!B29*1000</f>
        <v>49.59</v>
      </c>
      <c r="K36" s="24"/>
      <c r="L36" s="101">
        <f>(J36*H36)/10^6</f>
        <v>-9.9179999999999993</v>
      </c>
      <c r="M36" s="99"/>
      <c r="N36" s="101">
        <f>(L36*10^6)/D5</f>
        <v>-99.18</v>
      </c>
      <c r="O36" s="24"/>
      <c r="Q36" t="s">
        <v>272</v>
      </c>
      <c r="S36" s="7">
        <v>0.77</v>
      </c>
      <c r="T36" s="7">
        <f>S36*$J$85</f>
        <v>2.4640000000000004</v>
      </c>
      <c r="U36" s="7">
        <f>$J$89*T36</f>
        <v>4.4844800000000005</v>
      </c>
      <c r="Y36" s="93"/>
      <c r="Z36" s="93"/>
      <c r="AA36" s="96" t="s">
        <v>1</v>
      </c>
      <c r="AB36" s="96"/>
      <c r="AC36" s="96" t="s">
        <v>197</v>
      </c>
      <c r="AD36" s="96"/>
      <c r="AE36" s="96" t="s">
        <v>198</v>
      </c>
      <c r="AF36" s="94"/>
      <c r="AG36" s="118" t="s">
        <v>199</v>
      </c>
      <c r="AH36" s="94"/>
      <c r="AI36" s="96" t="s">
        <v>204</v>
      </c>
      <c r="AJ36" s="94"/>
      <c r="AK36" s="96" t="s">
        <v>205</v>
      </c>
      <c r="AL36" s="96"/>
      <c r="AM36" t="s">
        <v>97</v>
      </c>
      <c r="AP36" s="4">
        <v>0</v>
      </c>
      <c r="AQ36" s="4">
        <f>AP36*$BI$32*$BI$33</f>
        <v>0</v>
      </c>
      <c r="AT36" s="24" t="s">
        <v>30</v>
      </c>
      <c r="AU36" s="24"/>
      <c r="AV36" s="82" t="s">
        <v>29</v>
      </c>
      <c r="AW36" s="24"/>
      <c r="AX36" s="85">
        <f>AZ36/AV6</f>
        <v>0.1762125642835535</v>
      </c>
      <c r="AY36" s="24"/>
      <c r="AZ36" s="85">
        <f>BL28</f>
        <v>139800</v>
      </c>
      <c r="BA36" s="24"/>
      <c r="BB36" s="85">
        <f>Summary!B28*1000</f>
        <v>50</v>
      </c>
      <c r="BC36" s="24"/>
      <c r="BD36" s="85">
        <f>(BB36*AZ36)/10^6</f>
        <v>6.99</v>
      </c>
      <c r="BE36" s="24"/>
      <c r="BF36" s="85">
        <f>(BD36*10^6)/AV6</f>
        <v>8.8106282141776742</v>
      </c>
      <c r="BG36" s="115"/>
      <c r="BI36" t="s">
        <v>97</v>
      </c>
      <c r="BL36" s="4">
        <f>53.475</f>
        <v>53.475000000000001</v>
      </c>
      <c r="BM36" s="4">
        <f>BL36*$BI$32*$BI$33</f>
        <v>83.634900000000002</v>
      </c>
    </row>
    <row r="37" spans="2:65">
      <c r="B37" s="24"/>
      <c r="C37" s="24" t="s">
        <v>209</v>
      </c>
      <c r="D37" s="94"/>
      <c r="E37" s="93"/>
      <c r="F37" s="93"/>
      <c r="G37" s="93"/>
      <c r="H37" s="93"/>
      <c r="I37" s="93"/>
      <c r="J37" s="93"/>
      <c r="K37" s="93"/>
      <c r="L37" s="100">
        <f>SUM(L35:L36)</f>
        <v>-3.4652112623329527</v>
      </c>
      <c r="M37" s="93"/>
      <c r="N37" s="100">
        <f>SUM(N35:N36)</f>
        <v>-34.652112623329543</v>
      </c>
      <c r="O37" s="100"/>
      <c r="Q37" t="s">
        <v>273</v>
      </c>
      <c r="S37" s="7">
        <v>3.13</v>
      </c>
      <c r="T37" s="7">
        <f>S37*$J$85</f>
        <v>10.016</v>
      </c>
      <c r="U37" s="7">
        <f>$J$89*T37</f>
        <v>18.229119999999998</v>
      </c>
      <c r="Y37" s="24" t="s">
        <v>30</v>
      </c>
      <c r="Z37" s="24"/>
      <c r="AA37" s="82" t="s">
        <v>29</v>
      </c>
      <c r="AB37" s="24"/>
      <c r="AC37" s="85">
        <f>AE37/AA6</f>
        <v>9.4509928852076028E-2</v>
      </c>
      <c r="AD37" s="24"/>
      <c r="AE37" s="85">
        <f>AP27</f>
        <v>71200</v>
      </c>
      <c r="AF37" s="24"/>
      <c r="AG37" s="85">
        <f>Summary!B28*1000</f>
        <v>50</v>
      </c>
      <c r="AH37" s="24"/>
      <c r="AI37" s="85">
        <f>(AG37*AE37)/10^6</f>
        <v>3.56</v>
      </c>
      <c r="AJ37" s="24"/>
      <c r="AK37" s="85">
        <f>(AI37*10^6)/AA6</f>
        <v>4.7254964426038013</v>
      </c>
      <c r="AL37" s="115"/>
      <c r="AM37" t="s">
        <v>98</v>
      </c>
      <c r="AP37" s="4">
        <v>0</v>
      </c>
      <c r="AQ37" s="4">
        <f>AP37*$BI$32*$BI$33</f>
        <v>0</v>
      </c>
      <c r="AT37" s="24" t="s">
        <v>315</v>
      </c>
      <c r="AV37" s="82" t="s">
        <v>29</v>
      </c>
      <c r="AW37" s="24"/>
      <c r="AX37" s="85">
        <f>AZ37/AV6</f>
        <v>0.10718967429666229</v>
      </c>
      <c r="AY37" s="24"/>
      <c r="AZ37" s="24">
        <f>BL29</f>
        <v>85040</v>
      </c>
      <c r="BA37" s="24"/>
      <c r="BB37" s="85">
        <f>AO55</f>
        <v>651.04166666666674</v>
      </c>
      <c r="BC37" s="24"/>
      <c r="BD37" s="101">
        <f>(BB37*AZ37)/10^6</f>
        <v>55.364583333333343</v>
      </c>
      <c r="BE37" s="99"/>
      <c r="BF37" s="101">
        <f>(BD37*10^6)/AV6</f>
        <v>69.784944203556194</v>
      </c>
      <c r="BG37" s="24"/>
      <c r="BI37" t="s">
        <v>98</v>
      </c>
      <c r="BL37" s="4">
        <f>11.5</f>
        <v>11.5</v>
      </c>
      <c r="BM37" s="4">
        <f>BL37*$BI$32*$BI$33</f>
        <v>17.986000000000001</v>
      </c>
    </row>
    <row r="38" spans="2:6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Q38" t="s">
        <v>274</v>
      </c>
      <c r="S38" s="7">
        <v>8.8000000000000007</v>
      </c>
      <c r="T38" s="7">
        <f>S38*$J$85</f>
        <v>28.160000000000004</v>
      </c>
      <c r="U38" s="7">
        <f>$J$89*T38</f>
        <v>51.251200000000004</v>
      </c>
      <c r="Y38" t="s">
        <v>315</v>
      </c>
      <c r="AA38" s="82" t="s">
        <v>196</v>
      </c>
      <c r="AB38" s="24"/>
      <c r="AC38" s="85">
        <f>AE38/AA6</f>
        <v>0.11288095996601891</v>
      </c>
      <c r="AD38" s="24"/>
      <c r="AE38" s="24">
        <f>AP28</f>
        <v>85040</v>
      </c>
      <c r="AF38" s="24"/>
      <c r="AG38" s="85">
        <f>AO55</f>
        <v>651.04166666666674</v>
      </c>
      <c r="AH38" s="24"/>
      <c r="AI38" s="101">
        <f>(AG38*AE38)/10^6</f>
        <v>55.364583333333343</v>
      </c>
      <c r="AJ38" s="99"/>
      <c r="AK38" s="101">
        <f>(AI38*10^6)/AA6</f>
        <v>73.490208311210239</v>
      </c>
      <c r="AL38" s="24"/>
      <c r="AM38" t="s">
        <v>12</v>
      </c>
      <c r="AP38" s="4">
        <f>SUM(AP34:AP37)</f>
        <v>546.6</v>
      </c>
      <c r="AQ38" s="4">
        <f>SUM(AQ34:AQ37)</f>
        <v>854.88239999999996</v>
      </c>
      <c r="AT38" s="24"/>
      <c r="AU38" s="24" t="s">
        <v>209</v>
      </c>
      <c r="AV38" s="94"/>
      <c r="AW38" s="93"/>
      <c r="AX38" s="93"/>
      <c r="AY38" s="93"/>
      <c r="AZ38" s="93"/>
      <c r="BA38" s="93"/>
      <c r="BB38" s="93"/>
      <c r="BC38" s="93"/>
      <c r="BD38" s="100">
        <f>SUM(BD36:BD37)</f>
        <v>62.354583333333345</v>
      </c>
      <c r="BE38" s="93"/>
      <c r="BF38" s="100">
        <f>SUM(BF36:BF37)</f>
        <v>78.595572417733862</v>
      </c>
      <c r="BG38" s="100"/>
      <c r="BI38" t="s">
        <v>12</v>
      </c>
      <c r="BL38" s="4">
        <f>SUM(BL34:BL37)</f>
        <v>705.98500000000001</v>
      </c>
      <c r="BM38" s="4">
        <f>SUM(BM34:BM37)</f>
        <v>1104.1605400000001</v>
      </c>
    </row>
    <row r="39" spans="2:65">
      <c r="B39" s="24"/>
      <c r="C39" s="24"/>
      <c r="D39" s="24"/>
      <c r="E39" s="24"/>
      <c r="F39" s="24" t="s">
        <v>210</v>
      </c>
      <c r="G39" s="24"/>
      <c r="H39" s="24"/>
      <c r="I39" s="24"/>
      <c r="J39" s="24"/>
      <c r="K39" s="24"/>
      <c r="L39" s="85">
        <f>L24-L19+L31+L37</f>
        <v>174.06558790459079</v>
      </c>
      <c r="M39" s="24"/>
      <c r="N39" s="85">
        <f>N24-N19+N31+N37</f>
        <v>1740.6558790459078</v>
      </c>
      <c r="O39" s="85"/>
      <c r="Q39" t="s">
        <v>12</v>
      </c>
      <c r="S39" s="7">
        <f>SUM(S35:S38)</f>
        <v>13.600000000000001</v>
      </c>
      <c r="T39" s="7">
        <f>SUM(T35:T38)</f>
        <v>43.52</v>
      </c>
      <c r="U39" s="7">
        <f>SUM(U35:U38)</f>
        <v>79.206400000000002</v>
      </c>
      <c r="Y39" s="24"/>
      <c r="Z39" s="24" t="s">
        <v>209</v>
      </c>
      <c r="AA39" s="94"/>
      <c r="AB39" s="93"/>
      <c r="AC39" s="93"/>
      <c r="AD39" s="93"/>
      <c r="AE39" s="93"/>
      <c r="AF39" s="93"/>
      <c r="AG39" s="93"/>
      <c r="AH39" s="93"/>
      <c r="AI39" s="100">
        <f>SUM(AI37:AI38)</f>
        <v>58.924583333333345</v>
      </c>
      <c r="AJ39" s="93"/>
      <c r="AK39" s="100">
        <f>SUM(AK37:AK38)</f>
        <v>78.215704753814038</v>
      </c>
      <c r="AL39" s="100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</row>
    <row r="40" spans="2:65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t="s">
        <v>334</v>
      </c>
      <c r="AT40" s="24"/>
      <c r="AU40" s="24"/>
      <c r="AV40" s="24"/>
      <c r="AW40" s="24"/>
      <c r="AX40" s="24" t="s">
        <v>210</v>
      </c>
      <c r="AY40" s="24"/>
      <c r="AZ40" s="24"/>
      <c r="BA40" s="24"/>
      <c r="BB40" s="24"/>
      <c r="BC40" s="24"/>
      <c r="BD40" s="85">
        <f>BD26-BD22+BD32+BD38</f>
        <v>204.96575833333338</v>
      </c>
      <c r="BE40" s="24"/>
      <c r="BF40" s="85">
        <f>BF26-BF22+BF32+BF38</f>
        <v>258.35151549527751</v>
      </c>
      <c r="BG40" s="85"/>
      <c r="BI40" t="s">
        <v>334</v>
      </c>
    </row>
    <row r="41" spans="2:65">
      <c r="B41" s="97" t="s">
        <v>211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Y41" s="24"/>
      <c r="Z41" s="24"/>
      <c r="AA41" s="24"/>
      <c r="AB41" s="24"/>
      <c r="AC41" s="24" t="s">
        <v>210</v>
      </c>
      <c r="AD41" s="24"/>
      <c r="AE41" s="24"/>
      <c r="AF41" s="24"/>
      <c r="AG41" s="24"/>
      <c r="AH41" s="24"/>
      <c r="AI41" s="85">
        <f>AI26-AI21+AI33+AI39</f>
        <v>173.31787788371506</v>
      </c>
      <c r="AJ41" s="24"/>
      <c r="AK41" s="85">
        <f>AK26-AK21+AK33+AK39</f>
        <v>230.05983578065607</v>
      </c>
      <c r="AL41" s="85"/>
      <c r="AP41" s="142" t="s">
        <v>327</v>
      </c>
      <c r="AQ41" t="s">
        <v>328</v>
      </c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L41" s="142" t="s">
        <v>327</v>
      </c>
      <c r="BM41" t="s">
        <v>328</v>
      </c>
    </row>
    <row r="42" spans="2:6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6" t="s">
        <v>204</v>
      </c>
      <c r="M42" s="94"/>
      <c r="N42" s="96" t="s">
        <v>205</v>
      </c>
      <c r="O42" s="96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t="s">
        <v>66</v>
      </c>
      <c r="AP42">
        <v>0.2</v>
      </c>
      <c r="AQ42" s="4">
        <f>AP42*$BI$32*$BI$33</f>
        <v>0.31280000000000002</v>
      </c>
      <c r="AT42" s="140" t="s">
        <v>211</v>
      </c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I42" t="s">
        <v>66</v>
      </c>
      <c r="BL42">
        <v>0.2</v>
      </c>
      <c r="BM42" s="4">
        <f>BL42*$BI$32*$BI$33</f>
        <v>0.31280000000000002</v>
      </c>
    </row>
    <row r="43" spans="2:65">
      <c r="B43" s="24" t="s">
        <v>31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Q43" s="22" t="s">
        <v>18</v>
      </c>
      <c r="Y43" s="138" t="s">
        <v>211</v>
      </c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t="s">
        <v>14</v>
      </c>
      <c r="AP43">
        <v>1</v>
      </c>
      <c r="AQ43" s="4">
        <f>AP43*$BI$32*$BI$33</f>
        <v>1.5640000000000001</v>
      </c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6" t="s">
        <v>204</v>
      </c>
      <c r="BE43" s="94"/>
      <c r="BF43" s="96" t="s">
        <v>205</v>
      </c>
      <c r="BG43" s="96"/>
      <c r="BI43" t="s">
        <v>14</v>
      </c>
      <c r="BL43">
        <v>1</v>
      </c>
      <c r="BM43" s="4">
        <f>BL43*$BI$32*$BI$33</f>
        <v>1.5640000000000001</v>
      </c>
    </row>
    <row r="44" spans="2:65">
      <c r="B44" s="24"/>
      <c r="C44" s="24"/>
      <c r="D44" s="24">
        <v>4.8</v>
      </c>
      <c r="E44" s="24"/>
      <c r="F44" s="24" t="s">
        <v>212</v>
      </c>
      <c r="G44" s="24"/>
      <c r="H44" s="24"/>
      <c r="I44" s="24"/>
      <c r="J44" s="24"/>
      <c r="K44" s="24"/>
      <c r="L44" s="24"/>
      <c r="M44" s="24"/>
      <c r="N44" s="24"/>
      <c r="O44" s="24"/>
      <c r="Q44" s="11" t="s">
        <v>56</v>
      </c>
      <c r="S44">
        <v>7</v>
      </c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6" t="s">
        <v>204</v>
      </c>
      <c r="AJ44" s="94"/>
      <c r="AK44" s="96" t="s">
        <v>205</v>
      </c>
      <c r="AL44" s="96"/>
      <c r="AM44" t="s">
        <v>317</v>
      </c>
      <c r="AP44">
        <f>AP42+AP43</f>
        <v>1.2</v>
      </c>
      <c r="AQ44" s="4">
        <f>AQ42+AQ43</f>
        <v>1.8768</v>
      </c>
      <c r="AT44" s="24" t="s">
        <v>31</v>
      </c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I44" t="s">
        <v>317</v>
      </c>
      <c r="BL44">
        <f>BL42+BL43</f>
        <v>1.2</v>
      </c>
      <c r="BM44" s="4">
        <f>BM42+BM43</f>
        <v>1.8768</v>
      </c>
    </row>
    <row r="45" spans="2:65">
      <c r="B45" s="86" t="s">
        <v>213</v>
      </c>
      <c r="C45" s="24"/>
      <c r="D45" s="89">
        <f>S45</f>
        <v>2.8106938645110393</v>
      </c>
      <c r="E45" s="24"/>
      <c r="F45" s="24"/>
      <c r="G45" s="24"/>
      <c r="H45" s="24"/>
      <c r="I45" s="89">
        <f>S44</f>
        <v>7</v>
      </c>
      <c r="J45" s="24" t="s">
        <v>216</v>
      </c>
      <c r="K45" s="24"/>
      <c r="L45" s="120">
        <f>(D45*D44*I45)/10^6</f>
        <v>9.4439313847570919E-5</v>
      </c>
      <c r="M45" s="24"/>
      <c r="N45" s="85">
        <f>(L45*10^6)/$D$5</f>
        <v>9.4439313847570917E-4</v>
      </c>
      <c r="O45" s="85"/>
      <c r="Q45" s="11" t="s">
        <v>55</v>
      </c>
      <c r="S45" s="7">
        <f>(6.29+0.23*S44)^0.5</f>
        <v>2.8106938645110393</v>
      </c>
      <c r="Y45" s="24" t="s">
        <v>31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T45" s="24"/>
      <c r="AU45" s="24"/>
      <c r="AV45" s="24">
        <v>4.8</v>
      </c>
      <c r="AW45" s="24"/>
      <c r="AX45" s="24" t="s">
        <v>212</v>
      </c>
      <c r="AY45" s="24"/>
      <c r="AZ45" s="24"/>
      <c r="BA45" s="24"/>
      <c r="BB45" s="24"/>
      <c r="BC45" s="24"/>
      <c r="BD45" s="24"/>
      <c r="BE45" s="24"/>
      <c r="BF45" s="24"/>
      <c r="BG45" s="24"/>
    </row>
    <row r="46" spans="2:65">
      <c r="B46" s="24" t="s">
        <v>214</v>
      </c>
      <c r="C46" s="24"/>
      <c r="D46" s="24"/>
      <c r="E46" s="24"/>
      <c r="F46" s="24"/>
      <c r="G46" s="24"/>
      <c r="H46" s="24"/>
      <c r="I46" s="84">
        <v>0.25</v>
      </c>
      <c r="J46" s="24" t="s">
        <v>217</v>
      </c>
      <c r="K46" s="24"/>
      <c r="L46" s="85">
        <f>I46*L45</f>
        <v>2.360982846189273E-5</v>
      </c>
      <c r="M46" s="24"/>
      <c r="N46" s="85">
        <f>(L46*10^6)/$D$5</f>
        <v>2.3609828461892729E-4</v>
      </c>
      <c r="O46" s="85"/>
      <c r="Q46" s="11" t="s">
        <v>31</v>
      </c>
      <c r="S46" s="6">
        <f>4.5*S45</f>
        <v>12.648122390299676</v>
      </c>
      <c r="Y46" s="24"/>
      <c r="Z46" s="24"/>
      <c r="AA46" s="24">
        <v>4.8</v>
      </c>
      <c r="AB46" s="24"/>
      <c r="AC46" s="24" t="s">
        <v>212</v>
      </c>
      <c r="AD46" s="24"/>
      <c r="AE46" s="24"/>
      <c r="AF46" s="24"/>
      <c r="AG46" s="24"/>
      <c r="AH46" s="24"/>
      <c r="AI46" s="24"/>
      <c r="AJ46" s="24"/>
      <c r="AK46" s="24"/>
      <c r="AL46" s="24"/>
      <c r="AM46" t="s">
        <v>336</v>
      </c>
      <c r="AT46" s="86" t="s">
        <v>213</v>
      </c>
      <c r="AU46" s="24"/>
      <c r="AV46" s="89">
        <f>BK48</f>
        <v>11.819052415485769</v>
      </c>
      <c r="AW46" s="24"/>
      <c r="AX46" s="24"/>
      <c r="AY46" s="24"/>
      <c r="AZ46" s="24"/>
      <c r="BA46" s="89">
        <f>BK50</f>
        <v>25000</v>
      </c>
      <c r="BB46" s="24" t="s">
        <v>216</v>
      </c>
      <c r="BC46" s="24"/>
      <c r="BD46" s="120">
        <f>(AV46*AV45*BA46)/10^6</f>
        <v>1.4182862898582924</v>
      </c>
      <c r="BE46" s="24"/>
      <c r="BF46" s="85">
        <f>(BD46*10^6)/$D$5</f>
        <v>14.182862898582924</v>
      </c>
      <c r="BG46" s="85"/>
      <c r="BI46" t="s">
        <v>336</v>
      </c>
    </row>
    <row r="47" spans="2:65">
      <c r="B47" s="24" t="s">
        <v>215</v>
      </c>
      <c r="C47" s="24"/>
      <c r="D47" s="24"/>
      <c r="E47" s="24"/>
      <c r="F47" s="24"/>
      <c r="G47" s="24"/>
      <c r="H47" s="24"/>
      <c r="I47" s="84">
        <v>0.45</v>
      </c>
      <c r="J47" s="24" t="s">
        <v>218</v>
      </c>
      <c r="K47" s="24"/>
      <c r="L47" s="85">
        <f>I47*(L45+L46)</f>
        <v>5.3122114039258645E-5</v>
      </c>
      <c r="M47" s="24"/>
      <c r="N47" s="85">
        <f>(L47*10^6)/$D$5</f>
        <v>5.3122114039258646E-4</v>
      </c>
      <c r="O47" s="85"/>
      <c r="Q47" s="11" t="s">
        <v>57</v>
      </c>
      <c r="S47">
        <v>25000</v>
      </c>
      <c r="W47" s="7"/>
      <c r="Y47" s="86" t="s">
        <v>213</v>
      </c>
      <c r="Z47" s="24"/>
      <c r="AA47" s="89">
        <f>AO48</f>
        <v>11.013173929435601</v>
      </c>
      <c r="AB47" s="24"/>
      <c r="AC47" s="24"/>
      <c r="AD47" s="24"/>
      <c r="AE47" s="24"/>
      <c r="AF47" s="89">
        <f>AO50</f>
        <v>25000</v>
      </c>
      <c r="AG47" s="24" t="s">
        <v>216</v>
      </c>
      <c r="AH47" s="24"/>
      <c r="AI47" s="120">
        <f>(AA47*AA46*AF47)/10^6</f>
        <v>1.3215808715322721</v>
      </c>
      <c r="AJ47" s="24"/>
      <c r="AK47" s="85">
        <f>(AI47*10^6)/$D$5</f>
        <v>13.215808715322721</v>
      </c>
      <c r="AL47" s="85"/>
      <c r="AM47" s="16" t="s">
        <v>56</v>
      </c>
      <c r="AO47">
        <v>500</v>
      </c>
      <c r="AT47" s="24" t="s">
        <v>214</v>
      </c>
      <c r="AU47" s="24"/>
      <c r="AV47" s="24"/>
      <c r="AW47" s="24"/>
      <c r="AX47" s="24"/>
      <c r="AY47" s="24"/>
      <c r="AZ47" s="24"/>
      <c r="BA47" s="84">
        <v>0.25</v>
      </c>
      <c r="BB47" s="24" t="s">
        <v>217</v>
      </c>
      <c r="BC47" s="24"/>
      <c r="BD47" s="85">
        <f>BA47*BD46</f>
        <v>0.3545715724645731</v>
      </c>
      <c r="BE47" s="24"/>
      <c r="BF47" s="85">
        <f>(BD47*10^6)/$D$5</f>
        <v>3.5457157246457309</v>
      </c>
      <c r="BG47" s="85"/>
      <c r="BI47" s="16" t="s">
        <v>56</v>
      </c>
      <c r="BK47">
        <v>580</v>
      </c>
    </row>
    <row r="48" spans="2:65">
      <c r="B48" s="24" t="s">
        <v>15</v>
      </c>
      <c r="C48" s="24"/>
      <c r="D48" s="24"/>
      <c r="E48" s="24"/>
      <c r="F48" s="24"/>
      <c r="G48" s="24"/>
      <c r="H48" s="24"/>
      <c r="I48" s="84">
        <v>0.03</v>
      </c>
      <c r="J48" s="24" t="s">
        <v>219</v>
      </c>
      <c r="K48" s="24"/>
      <c r="L48" s="85">
        <f>I48*M4</f>
        <v>0.40800000000000003</v>
      </c>
      <c r="M48" s="24"/>
      <c r="N48" s="85">
        <f>(L48*10^6)/$D$5</f>
        <v>4.080000000000001</v>
      </c>
      <c r="O48" s="85"/>
      <c r="Y48" s="24" t="s">
        <v>214</v>
      </c>
      <c r="Z48" s="24"/>
      <c r="AA48" s="24"/>
      <c r="AB48" s="24"/>
      <c r="AC48" s="24"/>
      <c r="AD48" s="24"/>
      <c r="AE48" s="24"/>
      <c r="AF48" s="84">
        <v>0.25</v>
      </c>
      <c r="AG48" s="24" t="s">
        <v>217</v>
      </c>
      <c r="AH48" s="24"/>
      <c r="AI48" s="85">
        <f>AF48*AI47</f>
        <v>0.33039521788306803</v>
      </c>
      <c r="AJ48" s="24"/>
      <c r="AK48" s="85">
        <f>(AI48*10^6)/$D$5</f>
        <v>3.3039521788306803</v>
      </c>
      <c r="AL48" s="85"/>
      <c r="AM48" s="16" t="s">
        <v>55</v>
      </c>
      <c r="AO48" s="6">
        <f>(6.29+0.23*AO47)^0.5</f>
        <v>11.013173929435601</v>
      </c>
      <c r="AT48" s="24" t="s">
        <v>215</v>
      </c>
      <c r="AU48" s="24"/>
      <c r="AV48" s="24"/>
      <c r="AW48" s="24"/>
      <c r="AX48" s="24"/>
      <c r="AY48" s="24"/>
      <c r="AZ48" s="24"/>
      <c r="BA48" s="84">
        <v>0.45</v>
      </c>
      <c r="BB48" s="24" t="s">
        <v>218</v>
      </c>
      <c r="BC48" s="24"/>
      <c r="BD48" s="85">
        <f>BA48*(BD46+BD47)</f>
        <v>0.79778603804528947</v>
      </c>
      <c r="BE48" s="24"/>
      <c r="BF48" s="85">
        <f>(BD48*10^6)/$D$5</f>
        <v>7.9778603804528947</v>
      </c>
      <c r="BG48" s="85"/>
      <c r="BI48" s="16" t="s">
        <v>55</v>
      </c>
      <c r="BK48" s="6">
        <f>(6.29+0.23*BK47)^0.5</f>
        <v>11.819052415485769</v>
      </c>
    </row>
    <row r="49" spans="2:63">
      <c r="B49" s="24" t="s">
        <v>220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85"/>
      <c r="O49" s="85"/>
      <c r="Y49" s="24" t="s">
        <v>215</v>
      </c>
      <c r="Z49" s="24"/>
      <c r="AA49" s="24"/>
      <c r="AB49" s="24"/>
      <c r="AC49" s="24"/>
      <c r="AD49" s="24"/>
      <c r="AE49" s="24"/>
      <c r="AF49" s="84">
        <v>0.45</v>
      </c>
      <c r="AG49" s="24" t="s">
        <v>218</v>
      </c>
      <c r="AH49" s="24"/>
      <c r="AI49" s="85">
        <f>AF49*(AI47+AI48)</f>
        <v>0.74338924023690311</v>
      </c>
      <c r="AJ49" s="24"/>
      <c r="AK49" s="85">
        <f>(AI49*10^6)/$D$5</f>
        <v>7.4338924023690307</v>
      </c>
      <c r="AL49" s="85"/>
      <c r="AM49" s="16" t="s">
        <v>31</v>
      </c>
      <c r="AO49" s="6">
        <f>4.8*AO48</f>
        <v>52.863234861290884</v>
      </c>
      <c r="AT49" s="24" t="s">
        <v>15</v>
      </c>
      <c r="AU49" s="24"/>
      <c r="AV49" s="24"/>
      <c r="AW49" s="24"/>
      <c r="AX49" s="24"/>
      <c r="AY49" s="24"/>
      <c r="AZ49" s="24"/>
      <c r="BA49" s="84">
        <v>0.03</v>
      </c>
      <c r="BB49" s="24" t="s">
        <v>219</v>
      </c>
      <c r="BC49" s="24"/>
      <c r="BD49" s="85">
        <f>BA49*BE5</f>
        <v>33.124816199999998</v>
      </c>
      <c r="BE49" s="24"/>
      <c r="BF49" s="85">
        <f>(BD49*10^6)/AV6</f>
        <v>41.752566552384792</v>
      </c>
      <c r="BG49" s="85"/>
      <c r="BI49" s="16" t="s">
        <v>31</v>
      </c>
      <c r="BK49" s="6">
        <f>4.8*BK48</f>
        <v>56.731451594331695</v>
      </c>
    </row>
    <row r="50" spans="2:63">
      <c r="B50" s="86" t="s">
        <v>221</v>
      </c>
      <c r="C50" s="24"/>
      <c r="D50" s="24"/>
      <c r="E50" s="24"/>
      <c r="F50" s="24"/>
      <c r="G50" s="24"/>
      <c r="H50" s="24"/>
      <c r="I50" s="84">
        <v>0.65</v>
      </c>
      <c r="J50" s="24" t="s">
        <v>224</v>
      </c>
      <c r="K50" s="24"/>
      <c r="L50" s="85">
        <f>0.65*(L45+L48)</f>
        <v>0.26526138555400092</v>
      </c>
      <c r="M50" s="24"/>
      <c r="N50" s="85">
        <f>(L50*10^6)/$D$5</f>
        <v>2.6526138555400092</v>
      </c>
      <c r="O50" s="85"/>
      <c r="X50" s="80"/>
      <c r="Y50" s="24" t="s">
        <v>15</v>
      </c>
      <c r="Z50" s="24"/>
      <c r="AA50" s="24"/>
      <c r="AB50" s="24"/>
      <c r="AC50" s="24"/>
      <c r="AD50" s="24"/>
      <c r="AE50" s="24"/>
      <c r="AF50" s="84">
        <v>0.03</v>
      </c>
      <c r="AG50" s="24" t="s">
        <v>219</v>
      </c>
      <c r="AH50" s="24"/>
      <c r="AI50" s="85">
        <f>AF50*AJ5</f>
        <v>25.646471999999999</v>
      </c>
      <c r="AJ50" s="24"/>
      <c r="AK50" s="85">
        <f>(AI50*10^6)/AA6</f>
        <v>34.042784326218538</v>
      </c>
      <c r="AL50" s="85"/>
      <c r="AM50" s="16" t="s">
        <v>57</v>
      </c>
      <c r="AO50">
        <v>25000</v>
      </c>
      <c r="AT50" s="24" t="s">
        <v>220</v>
      </c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85"/>
      <c r="BG50" s="85"/>
      <c r="BI50" s="16" t="s">
        <v>57</v>
      </c>
      <c r="BK50">
        <v>25000</v>
      </c>
    </row>
    <row r="51" spans="2:63">
      <c r="B51" s="86" t="s">
        <v>222</v>
      </c>
      <c r="C51" s="24"/>
      <c r="D51" s="24"/>
      <c r="E51" s="24"/>
      <c r="F51" s="24"/>
      <c r="G51" s="24"/>
      <c r="H51" s="24"/>
      <c r="I51" s="84">
        <v>0.02</v>
      </c>
      <c r="J51" s="24" t="s">
        <v>311</v>
      </c>
      <c r="K51" s="24"/>
      <c r="L51" s="85">
        <f>I51*M4</f>
        <v>0.27200000000000002</v>
      </c>
      <c r="M51" s="24"/>
      <c r="N51" s="85">
        <f>(L51*10^6)/$D$5</f>
        <v>2.72</v>
      </c>
      <c r="O51" s="85"/>
      <c r="Y51" s="24" t="s">
        <v>220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85"/>
      <c r="AL51" s="85"/>
      <c r="AT51" s="86" t="s">
        <v>221</v>
      </c>
      <c r="AU51" s="24"/>
      <c r="AV51" s="24"/>
      <c r="AW51" s="24"/>
      <c r="AX51" s="24"/>
      <c r="AY51" s="24"/>
      <c r="AZ51" s="24"/>
      <c r="BA51" s="84">
        <v>0.65</v>
      </c>
      <c r="BB51" s="24" t="s">
        <v>224</v>
      </c>
      <c r="BC51" s="24"/>
      <c r="BD51" s="85">
        <f>0.65*(BD46+BD49)</f>
        <v>22.45301661840789</v>
      </c>
      <c r="BE51" s="24"/>
      <c r="BF51" s="85">
        <f>(BD51*10^6)/AV6</f>
        <v>28.301170488060766</v>
      </c>
      <c r="BG51" s="85"/>
    </row>
    <row r="52" spans="2:63">
      <c r="B52" s="24" t="s">
        <v>223</v>
      </c>
      <c r="C52" s="24"/>
      <c r="D52" s="24"/>
      <c r="E52" s="24"/>
      <c r="F52" s="24"/>
      <c r="G52" s="24"/>
      <c r="H52" s="24"/>
      <c r="I52" s="84">
        <v>0</v>
      </c>
      <c r="J52" s="24" t="s">
        <v>225</v>
      </c>
      <c r="K52" s="24"/>
      <c r="L52" s="85">
        <f>I52*M8</f>
        <v>0</v>
      </c>
      <c r="M52" s="24"/>
      <c r="N52" s="85">
        <f>(L52*10^6)/$D$5</f>
        <v>0</v>
      </c>
      <c r="O52" s="115"/>
      <c r="Y52" s="86" t="s">
        <v>221</v>
      </c>
      <c r="Z52" s="24"/>
      <c r="AA52" s="24"/>
      <c r="AB52" s="24"/>
      <c r="AC52" s="24"/>
      <c r="AD52" s="24"/>
      <c r="AE52" s="24"/>
      <c r="AF52" s="84">
        <v>0.65</v>
      </c>
      <c r="AG52" s="24" t="s">
        <v>224</v>
      </c>
      <c r="AH52" s="24"/>
      <c r="AI52" s="85">
        <f>0.65*(AI47+AI50)</f>
        <v>17.529234366495977</v>
      </c>
      <c r="AJ52" s="24"/>
      <c r="AK52" s="85">
        <f>(AI52*10^6)/AA6</f>
        <v>23.2680715282149</v>
      </c>
      <c r="AL52" s="85"/>
      <c r="AM52" t="s">
        <v>337</v>
      </c>
      <c r="AT52" s="86" t="s">
        <v>222</v>
      </c>
      <c r="AU52" s="24"/>
      <c r="AV52" s="24"/>
      <c r="AW52" s="24"/>
      <c r="AX52" s="24"/>
      <c r="AY52" s="24"/>
      <c r="AZ52" s="24"/>
      <c r="BA52" s="84">
        <v>0.02</v>
      </c>
      <c r="BB52" s="24" t="s">
        <v>311</v>
      </c>
      <c r="BC52" s="24"/>
      <c r="BD52" s="85">
        <f>BA52*BE5</f>
        <v>22.083210800000003</v>
      </c>
      <c r="BE52" s="24"/>
      <c r="BF52" s="85">
        <f>(BD52*10^6)/AV6</f>
        <v>27.835044368256536</v>
      </c>
      <c r="BG52" s="85"/>
    </row>
    <row r="53" spans="2:63">
      <c r="B53" s="24"/>
      <c r="C53" s="24"/>
      <c r="D53" s="24"/>
      <c r="E53" s="24"/>
      <c r="F53" s="24"/>
      <c r="G53" s="24"/>
      <c r="H53" s="24"/>
      <c r="I53" s="84">
        <v>0.06</v>
      </c>
      <c r="J53" s="24" t="s">
        <v>226</v>
      </c>
      <c r="K53" s="24"/>
      <c r="L53" s="101">
        <f>I53*V4</f>
        <v>2.4538906608851816</v>
      </c>
      <c r="M53" s="99"/>
      <c r="N53" s="101">
        <f>(L53*10^6)/D5</f>
        <v>24.538906608851818</v>
      </c>
      <c r="O53" s="85"/>
      <c r="Y53" s="86" t="s">
        <v>222</v>
      </c>
      <c r="Z53" s="24"/>
      <c r="AA53" s="24"/>
      <c r="AB53" s="24"/>
      <c r="AC53" s="24"/>
      <c r="AD53" s="24"/>
      <c r="AE53" s="24"/>
      <c r="AF53" s="84">
        <v>0.02</v>
      </c>
      <c r="AG53" s="24" t="s">
        <v>311</v>
      </c>
      <c r="AH53" s="24"/>
      <c r="AI53" s="85">
        <f>AF53*AJ5</f>
        <v>17.097648</v>
      </c>
      <c r="AJ53" s="24"/>
      <c r="AK53" s="85">
        <f>(AI53*10^6)/AA6</f>
        <v>22.695189550812362</v>
      </c>
      <c r="AL53" s="85"/>
      <c r="AM53" t="s">
        <v>316</v>
      </c>
      <c r="AO53">
        <v>1.9199999999999998E-2</v>
      </c>
      <c r="AT53" s="24" t="s">
        <v>318</v>
      </c>
      <c r="AU53" s="24"/>
      <c r="AV53" s="24"/>
      <c r="AW53" s="24"/>
      <c r="AX53" s="24"/>
      <c r="AY53" s="24"/>
      <c r="AZ53" s="24"/>
      <c r="BA53" s="84">
        <v>0</v>
      </c>
      <c r="BB53" s="24" t="s">
        <v>225</v>
      </c>
      <c r="BC53" s="24"/>
      <c r="BD53" s="85">
        <f>BA53*BE9</f>
        <v>0</v>
      </c>
      <c r="BE53" s="24"/>
      <c r="BF53" s="85">
        <f>(BD53*10^6)/$D$5</f>
        <v>0</v>
      </c>
      <c r="BG53" s="115"/>
    </row>
    <row r="54" spans="2:63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93"/>
      <c r="M54" s="93"/>
      <c r="N54" s="93"/>
      <c r="O54" s="93"/>
      <c r="V54" s="13"/>
      <c r="W54" s="79"/>
      <c r="Y54" s="24" t="s">
        <v>318</v>
      </c>
      <c r="Z54" s="24"/>
      <c r="AA54" s="24"/>
      <c r="AB54" s="24"/>
      <c r="AC54" s="24"/>
      <c r="AD54" s="24"/>
      <c r="AE54" s="24"/>
      <c r="AF54" s="84">
        <v>0</v>
      </c>
      <c r="AG54" s="24" t="s">
        <v>225</v>
      </c>
      <c r="AH54" s="24"/>
      <c r="AI54" s="85">
        <f>AF54*AJ9</f>
        <v>0</v>
      </c>
      <c r="AJ54" s="24"/>
      <c r="AK54" s="85">
        <f>(AI54*10^6)/$D$5</f>
        <v>0</v>
      </c>
      <c r="AL54" s="115"/>
      <c r="AM54" t="s">
        <v>338</v>
      </c>
      <c r="AO54">
        <v>12.5</v>
      </c>
      <c r="AP54" t="s">
        <v>381</v>
      </c>
      <c r="AT54" s="24"/>
      <c r="AU54" s="24"/>
      <c r="AV54" s="24"/>
      <c r="AW54" s="24"/>
      <c r="AX54" s="24"/>
      <c r="AY54" s="24"/>
      <c r="AZ54" s="24"/>
      <c r="BA54" s="84">
        <f>Summary!B32</f>
        <v>0.08</v>
      </c>
      <c r="BB54" s="24" t="s">
        <v>226</v>
      </c>
      <c r="BC54" s="24"/>
      <c r="BD54" s="101">
        <f>BA54*BM4</f>
        <v>13.204000000000001</v>
      </c>
      <c r="BE54" s="99"/>
      <c r="BF54" s="101">
        <f>(BD54*10^6)/AV6</f>
        <v>16.643138045779974</v>
      </c>
      <c r="BG54" s="85"/>
    </row>
    <row r="55" spans="2:63">
      <c r="B55" s="24"/>
      <c r="C55" s="24"/>
      <c r="D55" s="24"/>
      <c r="E55" s="24"/>
      <c r="F55" s="24"/>
      <c r="G55" s="24"/>
      <c r="H55" s="24"/>
      <c r="I55" s="24" t="s">
        <v>227</v>
      </c>
      <c r="J55" s="24"/>
      <c r="K55" s="24"/>
      <c r="L55" s="85">
        <f>SUM(L45:L53)</f>
        <v>3.3993232176955313</v>
      </c>
      <c r="M55" s="24"/>
      <c r="N55" s="85">
        <f>SUM(N45:N53)</f>
        <v>33.993232176955317</v>
      </c>
      <c r="O55" s="85"/>
      <c r="V55" s="13"/>
      <c r="W55" s="79"/>
      <c r="Y55" s="24"/>
      <c r="Z55" s="24"/>
      <c r="AA55" s="24"/>
      <c r="AB55" s="24"/>
      <c r="AC55" s="24"/>
      <c r="AD55" s="24"/>
      <c r="AE55" s="24"/>
      <c r="AF55" s="84">
        <f>Summary!B32</f>
        <v>0.08</v>
      </c>
      <c r="AG55" s="24" t="s">
        <v>226</v>
      </c>
      <c r="AH55" s="24"/>
      <c r="AI55" s="101">
        <f>AF55*AQ4</f>
        <v>9.6327999999999996</v>
      </c>
      <c r="AJ55" s="99"/>
      <c r="AK55" s="101">
        <f>(AI55*10^6)/AA6</f>
        <v>12.786450037166826</v>
      </c>
      <c r="AL55" s="85"/>
      <c r="AM55" t="s">
        <v>339</v>
      </c>
      <c r="AO55" s="7">
        <f>AO54/AO53</f>
        <v>651.04166666666674</v>
      </c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93"/>
      <c r="BE55" s="93"/>
      <c r="BF55" s="93"/>
      <c r="BG55" s="93"/>
    </row>
    <row r="56" spans="2:63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93"/>
      <c r="AJ56" s="93"/>
      <c r="AK56" s="93"/>
      <c r="AL56" s="93"/>
      <c r="AT56" s="24"/>
      <c r="AU56" s="24"/>
      <c r="AV56" s="24"/>
      <c r="AW56" s="24"/>
      <c r="AX56" s="24"/>
      <c r="AY56" s="24"/>
      <c r="AZ56" s="24"/>
      <c r="BA56" s="24" t="s">
        <v>227</v>
      </c>
      <c r="BB56" s="24"/>
      <c r="BC56" s="24"/>
      <c r="BD56" s="85">
        <f>SUM(BD46:BD54)</f>
        <v>93.435687518776035</v>
      </c>
      <c r="BE56" s="24"/>
      <c r="BF56" s="85">
        <f>SUM(BF46:BF54)</f>
        <v>140.23835845816362</v>
      </c>
      <c r="BG56" s="85"/>
    </row>
    <row r="57" spans="2:63">
      <c r="B57" s="97" t="s">
        <v>230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Y57" s="24"/>
      <c r="Z57" s="24"/>
      <c r="AA57" s="24"/>
      <c r="AB57" s="24"/>
      <c r="AC57" s="24"/>
      <c r="AD57" s="24"/>
      <c r="AE57" s="24"/>
      <c r="AF57" s="24" t="s">
        <v>227</v>
      </c>
      <c r="AG57" s="24"/>
      <c r="AH57" s="24"/>
      <c r="AI57" s="85">
        <f>SUM(AI47:AI55)</f>
        <v>72.301519696148219</v>
      </c>
      <c r="AJ57" s="24"/>
      <c r="AK57" s="85">
        <f>SUM(AK47:AK55)</f>
        <v>116.74614873893506</v>
      </c>
      <c r="AL57" s="85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</row>
    <row r="58" spans="2:63">
      <c r="B58" s="93"/>
      <c r="C58" s="93"/>
      <c r="D58" s="96" t="s">
        <v>228</v>
      </c>
      <c r="E58" s="96"/>
      <c r="F58" s="96" t="s">
        <v>9</v>
      </c>
      <c r="G58" s="96"/>
      <c r="H58" s="96" t="s">
        <v>231</v>
      </c>
      <c r="I58" s="94"/>
      <c r="J58" s="96" t="s">
        <v>28</v>
      </c>
      <c r="K58" s="94"/>
      <c r="L58" s="96" t="s">
        <v>204</v>
      </c>
      <c r="M58" s="94"/>
      <c r="N58" s="96" t="s">
        <v>232</v>
      </c>
      <c r="O58" s="116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T58" s="140" t="s">
        <v>230</v>
      </c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</row>
    <row r="59" spans="2:63">
      <c r="B59" s="24" t="s">
        <v>167</v>
      </c>
      <c r="C59" s="24"/>
      <c r="D59" s="85">
        <f>M8</f>
        <v>24.751999999999999</v>
      </c>
      <c r="E59" s="91"/>
      <c r="F59" s="84">
        <f>Summary!$B$32</f>
        <v>0.08</v>
      </c>
      <c r="G59" s="84"/>
      <c r="H59" s="24">
        <f>Summary!$B$33</f>
        <v>20</v>
      </c>
      <c r="I59" s="24"/>
      <c r="J59" s="91">
        <f>Summary!$B$34</f>
        <v>0.10185220882315059</v>
      </c>
      <c r="K59" s="24"/>
      <c r="L59" s="101">
        <f>J59*D59</f>
        <v>2.5210458727906233</v>
      </c>
      <c r="M59" s="99"/>
      <c r="N59" s="101">
        <f>(L59*10^6)/D5</f>
        <v>25.210458727906236</v>
      </c>
      <c r="O59" s="85"/>
      <c r="Y59" s="138" t="s">
        <v>230</v>
      </c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T59" s="93"/>
      <c r="AU59" s="93"/>
      <c r="AV59" s="96" t="s">
        <v>228</v>
      </c>
      <c r="AW59" s="96"/>
      <c r="AX59" s="96" t="s">
        <v>9</v>
      </c>
      <c r="AY59" s="96"/>
      <c r="AZ59" s="96" t="s">
        <v>231</v>
      </c>
      <c r="BA59" s="94"/>
      <c r="BB59" s="96" t="s">
        <v>28</v>
      </c>
      <c r="BC59" s="94"/>
      <c r="BD59" s="96" t="s">
        <v>204</v>
      </c>
      <c r="BE59" s="94"/>
      <c r="BF59" s="96" t="s">
        <v>232</v>
      </c>
      <c r="BG59" s="116"/>
    </row>
    <row r="60" spans="2:63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93"/>
      <c r="M60" s="93"/>
      <c r="N60" s="93"/>
      <c r="O60" s="93"/>
      <c r="Y60" s="93"/>
      <c r="Z60" s="93"/>
      <c r="AA60" s="96" t="s">
        <v>228</v>
      </c>
      <c r="AB60" s="96"/>
      <c r="AC60" s="96" t="s">
        <v>9</v>
      </c>
      <c r="AD60" s="96"/>
      <c r="AE60" s="96" t="s">
        <v>231</v>
      </c>
      <c r="AF60" s="94"/>
      <c r="AG60" s="96" t="s">
        <v>28</v>
      </c>
      <c r="AH60" s="94"/>
      <c r="AI60" s="96" t="s">
        <v>204</v>
      </c>
      <c r="AJ60" s="94"/>
      <c r="AK60" s="96" t="s">
        <v>232</v>
      </c>
      <c r="AL60" s="116"/>
      <c r="AT60" s="24" t="s">
        <v>167</v>
      </c>
      <c r="AU60" s="24"/>
      <c r="AV60" s="85">
        <f>BE9</f>
        <v>2009.5721828000001</v>
      </c>
      <c r="AW60" s="91"/>
      <c r="AX60" s="84">
        <f>Summary!$B$32</f>
        <v>0.08</v>
      </c>
      <c r="AY60" s="84"/>
      <c r="AZ60" s="24">
        <f>Summary!$B$33</f>
        <v>20</v>
      </c>
      <c r="BA60" s="24"/>
      <c r="BB60" s="91">
        <f>Summary!$B$34</f>
        <v>0.10185220882315059</v>
      </c>
      <c r="BC60" s="24"/>
      <c r="BD60" s="101">
        <f>BB60*AV60</f>
        <v>204.67936560774015</v>
      </c>
      <c r="BE60" s="99"/>
      <c r="BF60" s="101">
        <f>(BD60*10^6)/AV6</f>
        <v>257.99052839535665</v>
      </c>
      <c r="BG60" s="85"/>
    </row>
    <row r="61" spans="2:63">
      <c r="B61" s="24"/>
      <c r="C61" s="24"/>
      <c r="D61" s="24"/>
      <c r="E61" s="24"/>
      <c r="F61" s="24"/>
      <c r="G61" s="24"/>
      <c r="H61" s="24" t="s">
        <v>246</v>
      </c>
      <c r="I61" s="24"/>
      <c r="J61" s="24"/>
      <c r="K61" s="24"/>
      <c r="L61" s="85">
        <f>L59</f>
        <v>2.5210458727906233</v>
      </c>
      <c r="M61" s="24"/>
      <c r="N61" s="85">
        <f>N59</f>
        <v>25.210458727906236</v>
      </c>
      <c r="O61" s="85"/>
      <c r="Y61" s="24" t="s">
        <v>167</v>
      </c>
      <c r="Z61" s="24"/>
      <c r="AA61" s="85">
        <f>AJ9</f>
        <v>1555.8859679999998</v>
      </c>
      <c r="AB61" s="91"/>
      <c r="AC61" s="84">
        <f>Summary!$B$32</f>
        <v>0.08</v>
      </c>
      <c r="AD61" s="84"/>
      <c r="AE61" s="24">
        <f>Summary!$B$33</f>
        <v>20</v>
      </c>
      <c r="AF61" s="24"/>
      <c r="AG61" s="91">
        <f>Summary!$B$34</f>
        <v>0.10185220882315059</v>
      </c>
      <c r="AH61" s="24"/>
      <c r="AI61" s="101">
        <f>AG61*AA61</f>
        <v>158.47042251774579</v>
      </c>
      <c r="AJ61" s="99"/>
      <c r="AK61" s="101">
        <f>(AI61*10^6)/AA6</f>
        <v>210.35152187233965</v>
      </c>
      <c r="AL61" s="85"/>
      <c r="AM61" s="1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93"/>
      <c r="BE61" s="93"/>
      <c r="BF61" s="93"/>
      <c r="BG61" s="93"/>
    </row>
    <row r="62" spans="2:63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93"/>
      <c r="AJ62" s="93"/>
      <c r="AK62" s="93"/>
      <c r="AL62" s="93"/>
      <c r="AT62" s="24"/>
      <c r="AU62" s="24"/>
      <c r="AV62" s="24"/>
      <c r="AW62" s="24"/>
      <c r="AX62" s="24"/>
      <c r="AY62" s="24"/>
      <c r="AZ62" s="24" t="s">
        <v>246</v>
      </c>
      <c r="BA62" s="24"/>
      <c r="BB62" s="24"/>
      <c r="BC62" s="24"/>
      <c r="BD62" s="85">
        <f>BD60</f>
        <v>204.67936560774015</v>
      </c>
      <c r="BE62" s="24"/>
      <c r="BF62" s="85">
        <f>BF60</f>
        <v>257.99052839535665</v>
      </c>
      <c r="BG62" s="85"/>
    </row>
    <row r="63" spans="2:63">
      <c r="B63" s="97" t="s">
        <v>247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Y63" s="24"/>
      <c r="Z63" s="24"/>
      <c r="AA63" s="24"/>
      <c r="AB63" s="24"/>
      <c r="AC63" s="24"/>
      <c r="AD63" s="24"/>
      <c r="AE63" s="24" t="s">
        <v>246</v>
      </c>
      <c r="AF63" s="24"/>
      <c r="AG63" s="24"/>
      <c r="AH63" s="24"/>
      <c r="AI63" s="85">
        <f>AI61</f>
        <v>158.47042251774579</v>
      </c>
      <c r="AJ63" s="24"/>
      <c r="AK63" s="85">
        <f>AK61</f>
        <v>210.35152187233965</v>
      </c>
      <c r="AL63" s="85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</row>
    <row r="64" spans="2:63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6" t="s">
        <v>204</v>
      </c>
      <c r="M64" s="94"/>
      <c r="N64" s="96" t="s">
        <v>232</v>
      </c>
      <c r="O64" s="96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1"/>
      <c r="AT64" s="140" t="s">
        <v>247</v>
      </c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</row>
    <row r="65" spans="2:59">
      <c r="B65" s="24"/>
      <c r="C65" s="24"/>
      <c r="D65" s="24"/>
      <c r="E65" s="24"/>
      <c r="F65" s="24"/>
      <c r="G65" s="24"/>
      <c r="H65" s="24" t="s">
        <v>248</v>
      </c>
      <c r="I65" s="24"/>
      <c r="J65" s="24"/>
      <c r="K65" s="24"/>
      <c r="L65" s="85">
        <f>L39</f>
        <v>174.06558790459079</v>
      </c>
      <c r="M65" s="24"/>
      <c r="N65" s="85">
        <f>N39</f>
        <v>1740.6558790459078</v>
      </c>
      <c r="O65" s="115"/>
      <c r="W65" s="11"/>
      <c r="X65" s="6"/>
      <c r="Y65" s="138" t="s">
        <v>247</v>
      </c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6" t="s">
        <v>204</v>
      </c>
      <c r="BE65" s="94"/>
      <c r="BF65" s="96" t="s">
        <v>232</v>
      </c>
      <c r="BG65" s="96"/>
    </row>
    <row r="66" spans="2:59">
      <c r="B66" s="24"/>
      <c r="C66" s="24"/>
      <c r="D66" s="24"/>
      <c r="E66" s="24"/>
      <c r="F66" s="24"/>
      <c r="G66" s="24"/>
      <c r="H66" s="24" t="s">
        <v>249</v>
      </c>
      <c r="I66" s="24"/>
      <c r="J66" s="24"/>
      <c r="K66" s="24"/>
      <c r="L66" s="101">
        <f>L55</f>
        <v>3.3993232176955313</v>
      </c>
      <c r="M66" s="99"/>
      <c r="N66" s="101">
        <f>N55</f>
        <v>33.993232176955317</v>
      </c>
      <c r="O66" s="85"/>
      <c r="W66" s="11"/>
      <c r="X66" s="6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6" t="s">
        <v>204</v>
      </c>
      <c r="AJ66" s="94"/>
      <c r="AK66" s="96" t="s">
        <v>232</v>
      </c>
      <c r="AL66" s="96"/>
      <c r="AT66" s="24"/>
      <c r="AU66" s="24"/>
      <c r="AV66" s="24"/>
      <c r="AW66" s="24"/>
      <c r="AX66" s="24"/>
      <c r="AY66" s="24"/>
      <c r="AZ66" s="24" t="s">
        <v>248</v>
      </c>
      <c r="BA66" s="24"/>
      <c r="BB66" s="24"/>
      <c r="BC66" s="24"/>
      <c r="BD66" s="85">
        <f>BD40</f>
        <v>204.96575833333338</v>
      </c>
      <c r="BE66" s="24"/>
      <c r="BF66" s="85">
        <f>BF40</f>
        <v>258.35151549527751</v>
      </c>
      <c r="BG66" s="115"/>
    </row>
    <row r="67" spans="2:59">
      <c r="B67" s="24"/>
      <c r="C67" s="24"/>
      <c r="D67" s="24"/>
      <c r="E67" s="24"/>
      <c r="F67" s="24"/>
      <c r="G67" s="24"/>
      <c r="H67" s="24" t="s">
        <v>250</v>
      </c>
      <c r="I67" s="24"/>
      <c r="J67" s="24"/>
      <c r="K67" s="24"/>
      <c r="L67" s="100">
        <f>L65+L66</f>
        <v>177.46491112228631</v>
      </c>
      <c r="M67" s="93"/>
      <c r="N67" s="100">
        <f>N65+N66</f>
        <v>1774.6491112228632</v>
      </c>
      <c r="O67" s="100"/>
      <c r="W67" s="11"/>
      <c r="Y67" s="24"/>
      <c r="Z67" s="24"/>
      <c r="AA67" s="24"/>
      <c r="AB67" s="24"/>
      <c r="AC67" s="24"/>
      <c r="AD67" s="24"/>
      <c r="AE67" s="24" t="s">
        <v>248</v>
      </c>
      <c r="AF67" s="24"/>
      <c r="AG67" s="24"/>
      <c r="AH67" s="24"/>
      <c r="AI67" s="85">
        <f>AI41</f>
        <v>173.31787788371506</v>
      </c>
      <c r="AJ67" s="24"/>
      <c r="AK67" s="85">
        <f>AK41</f>
        <v>230.05983578065607</v>
      </c>
      <c r="AL67" s="115"/>
      <c r="AT67" s="24"/>
      <c r="AU67" s="24"/>
      <c r="AV67" s="24"/>
      <c r="AW67" s="24"/>
      <c r="AX67" s="24"/>
      <c r="AY67" s="24"/>
      <c r="AZ67" s="24" t="s">
        <v>249</v>
      </c>
      <c r="BA67" s="24"/>
      <c r="BB67" s="24"/>
      <c r="BC67" s="24"/>
      <c r="BD67" s="101">
        <f>BD56</f>
        <v>93.435687518776035</v>
      </c>
      <c r="BE67" s="99"/>
      <c r="BF67" s="101">
        <f>BF56</f>
        <v>140.23835845816362</v>
      </c>
      <c r="BG67" s="85"/>
    </row>
    <row r="68" spans="2:59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Y68" s="24"/>
      <c r="Z68" s="24"/>
      <c r="AA68" s="24"/>
      <c r="AB68" s="24"/>
      <c r="AC68" s="24"/>
      <c r="AD68" s="24"/>
      <c r="AE68" s="24" t="s">
        <v>249</v>
      </c>
      <c r="AF68" s="24"/>
      <c r="AG68" s="24"/>
      <c r="AH68" s="24"/>
      <c r="AI68" s="101">
        <f>AI57</f>
        <v>72.301519696148219</v>
      </c>
      <c r="AJ68" s="99"/>
      <c r="AK68" s="101">
        <f>AK57</f>
        <v>116.74614873893506</v>
      </c>
      <c r="AL68" s="85"/>
      <c r="AT68" s="24"/>
      <c r="AU68" s="24"/>
      <c r="AV68" s="24"/>
      <c r="AW68" s="24"/>
      <c r="AX68" s="24"/>
      <c r="AY68" s="24"/>
      <c r="AZ68" s="24" t="s">
        <v>250</v>
      </c>
      <c r="BA68" s="24"/>
      <c r="BB68" s="24"/>
      <c r="BC68" s="24"/>
      <c r="BD68" s="100">
        <f>BD66+BD67</f>
        <v>298.40144585210942</v>
      </c>
      <c r="BE68" s="93"/>
      <c r="BF68" s="100">
        <f>BF66+BF67</f>
        <v>398.58987395344116</v>
      </c>
      <c r="BG68" s="100"/>
    </row>
    <row r="69" spans="2:59">
      <c r="B69" s="24"/>
      <c r="C69" s="24"/>
      <c r="D69" s="24"/>
      <c r="E69" s="24"/>
      <c r="F69" s="24"/>
      <c r="G69" s="24"/>
      <c r="H69" s="24" t="s">
        <v>251</v>
      </c>
      <c r="I69" s="24"/>
      <c r="J69" s="24"/>
      <c r="K69" s="24"/>
      <c r="L69" s="85">
        <f>L67+L61</f>
        <v>179.98595699507695</v>
      </c>
      <c r="M69" s="24"/>
      <c r="N69" s="85">
        <f>N67+N61</f>
        <v>1799.8595699507694</v>
      </c>
      <c r="O69" s="85"/>
      <c r="Y69" s="24"/>
      <c r="Z69" s="24"/>
      <c r="AA69" s="24"/>
      <c r="AB69" s="24"/>
      <c r="AC69" s="24"/>
      <c r="AD69" s="24"/>
      <c r="AE69" s="24" t="s">
        <v>250</v>
      </c>
      <c r="AF69" s="24"/>
      <c r="AG69" s="24"/>
      <c r="AH69" s="24"/>
      <c r="AI69" s="100">
        <f>AI67+AI68</f>
        <v>245.61939757986329</v>
      </c>
      <c r="AJ69" s="93"/>
      <c r="AK69" s="100">
        <f>AK67+AK68</f>
        <v>346.80598451959111</v>
      </c>
      <c r="AL69" s="100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</row>
    <row r="70" spans="2:59">
      <c r="B70" s="24"/>
      <c r="C70" s="24"/>
      <c r="D70" s="24"/>
      <c r="E70" s="24"/>
      <c r="F70" s="24"/>
      <c r="G70" s="24"/>
      <c r="H70" s="24" t="s">
        <v>280</v>
      </c>
      <c r="I70" s="24"/>
      <c r="J70" s="24"/>
      <c r="K70" s="24"/>
      <c r="L70" s="85">
        <f>L69</f>
        <v>179.98595699507695</v>
      </c>
      <c r="M70" s="24"/>
      <c r="N70" s="85">
        <f>N69</f>
        <v>1799.8595699507694</v>
      </c>
      <c r="O70" s="85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T70" s="24"/>
      <c r="AU70" s="24"/>
      <c r="AV70" s="24"/>
      <c r="AW70" s="24"/>
      <c r="AX70" s="24"/>
      <c r="AY70" s="24"/>
      <c r="AZ70" s="24" t="s">
        <v>251</v>
      </c>
      <c r="BA70" s="24"/>
      <c r="BB70" s="24"/>
      <c r="BC70" s="24"/>
      <c r="BD70" s="85">
        <f>BD68+BD62</f>
        <v>503.08081145984954</v>
      </c>
      <c r="BE70" s="24"/>
      <c r="BF70" s="85">
        <f>BF68+BF62</f>
        <v>656.58040234879786</v>
      </c>
      <c r="BG70" s="85"/>
    </row>
    <row r="71" spans="2:59">
      <c r="Y71" s="24"/>
      <c r="Z71" s="24"/>
      <c r="AA71" s="24"/>
      <c r="AB71" s="24"/>
      <c r="AC71" s="24"/>
      <c r="AD71" s="24"/>
      <c r="AE71" s="24" t="s">
        <v>251</v>
      </c>
      <c r="AF71" s="24"/>
      <c r="AG71" s="24"/>
      <c r="AH71" s="24"/>
      <c r="AI71" s="85">
        <f>AI69+AI63</f>
        <v>404.08982009760905</v>
      </c>
      <c r="AJ71" s="24"/>
      <c r="AK71" s="85">
        <f>AK69+AK63</f>
        <v>557.15750639193072</v>
      </c>
      <c r="AL71" s="85"/>
      <c r="AT71" s="24"/>
      <c r="AU71" s="24"/>
      <c r="AV71" s="24"/>
      <c r="AW71" s="24"/>
      <c r="AX71" s="24"/>
      <c r="AY71" s="24"/>
      <c r="AZ71" s="24" t="s">
        <v>280</v>
      </c>
      <c r="BA71" s="24"/>
      <c r="BB71" s="24"/>
      <c r="BC71" s="24"/>
      <c r="BD71" s="85">
        <f>BD70</f>
        <v>503.08081145984954</v>
      </c>
      <c r="BE71" s="24"/>
      <c r="BF71" s="85">
        <f>BF70</f>
        <v>656.58040234879786</v>
      </c>
      <c r="BG71" s="85"/>
    </row>
    <row r="72" spans="2:59">
      <c r="N72" s="1"/>
      <c r="Y72" s="24"/>
      <c r="Z72" s="24"/>
      <c r="AA72" s="24"/>
      <c r="AB72" s="24"/>
      <c r="AC72" s="24"/>
      <c r="AD72" s="24"/>
      <c r="AE72" s="24" t="s">
        <v>280</v>
      </c>
      <c r="AF72" s="24"/>
      <c r="AG72" s="24"/>
      <c r="AH72" s="24"/>
      <c r="AI72" s="85">
        <f>AI71</f>
        <v>404.08982009760905</v>
      </c>
      <c r="AJ72" s="24"/>
      <c r="AK72" s="85">
        <f>AK71</f>
        <v>557.15750639193072</v>
      </c>
      <c r="AL72" s="85"/>
    </row>
    <row r="78" spans="2:59">
      <c r="G78" s="11" t="s">
        <v>168</v>
      </c>
      <c r="J78">
        <v>0.3</v>
      </c>
    </row>
    <row r="79" spans="2:59">
      <c r="G79" s="11" t="s">
        <v>169</v>
      </c>
      <c r="J79">
        <v>0.8</v>
      </c>
    </row>
    <row r="80" spans="2:59">
      <c r="G80" s="11" t="s">
        <v>170</v>
      </c>
      <c r="J80">
        <v>0.3</v>
      </c>
    </row>
    <row r="81" spans="7:28">
      <c r="G81" s="11" t="s">
        <v>171</v>
      </c>
      <c r="J81">
        <v>0.2</v>
      </c>
    </row>
    <row r="82" spans="7:28">
      <c r="G82" s="11" t="s">
        <v>172</v>
      </c>
      <c r="J82">
        <v>0.3</v>
      </c>
    </row>
    <row r="83" spans="7:28">
      <c r="G83" s="11" t="s">
        <v>173</v>
      </c>
      <c r="J83">
        <v>0.2</v>
      </c>
      <c r="R83" s="7"/>
    </row>
    <row r="84" spans="7:28">
      <c r="G84" s="11" t="s">
        <v>174</v>
      </c>
      <c r="J84">
        <v>0.1</v>
      </c>
      <c r="R84" s="7"/>
    </row>
    <row r="85" spans="7:28">
      <c r="G85" t="s">
        <v>175</v>
      </c>
      <c r="J85">
        <f>1+SUM(J78:J84)</f>
        <v>3.2</v>
      </c>
      <c r="K85">
        <f>SUM(J78:J84)</f>
        <v>2.2000000000000002</v>
      </c>
      <c r="R85" s="7"/>
    </row>
    <row r="86" spans="7:28">
      <c r="G86" s="11" t="s">
        <v>178</v>
      </c>
      <c r="J86">
        <v>0.4</v>
      </c>
      <c r="R86" s="7"/>
    </row>
    <row r="87" spans="7:28">
      <c r="G87" s="11" t="s">
        <v>177</v>
      </c>
      <c r="J87">
        <v>0.2</v>
      </c>
      <c r="R87" s="7"/>
    </row>
    <row r="88" spans="7:28">
      <c r="G88" s="11" t="s">
        <v>176</v>
      </c>
      <c r="J88">
        <v>0.1</v>
      </c>
    </row>
    <row r="89" spans="7:28">
      <c r="G89" s="11" t="s">
        <v>167</v>
      </c>
      <c r="J89">
        <f>(1+J86)*(1+J87+J88)</f>
        <v>1.8199999999999998</v>
      </c>
    </row>
    <row r="93" spans="7:28">
      <c r="G93" t="s">
        <v>179</v>
      </c>
      <c r="H93">
        <f>(1+J79)+(J78+J81+J80+J82+J83+J84)</f>
        <v>3.2</v>
      </c>
    </row>
    <row r="94" spans="7:28">
      <c r="G94" t="s">
        <v>180</v>
      </c>
      <c r="AA94" s="7"/>
      <c r="AB94" s="7"/>
    </row>
    <row r="107" spans="41:41">
      <c r="AO107" s="12"/>
    </row>
    <row r="170" spans="10:14">
      <c r="J170" s="7"/>
      <c r="L170" s="7"/>
      <c r="M170" s="7"/>
      <c r="N170" s="7"/>
    </row>
    <row r="171" spans="10:14">
      <c r="J171" s="7"/>
      <c r="L171" s="7"/>
      <c r="M171" s="7"/>
      <c r="N171" s="7"/>
    </row>
    <row r="172" spans="10:14">
      <c r="J172" s="7"/>
      <c r="L172" s="7"/>
      <c r="M172" s="7"/>
      <c r="N172" s="7"/>
    </row>
  </sheetData>
  <hyperlinks>
    <hyperlink ref="BI33" r:id="rId1" display="https://www.bls.gov/data/inflation_calculator.htm" xr:uid="{BF3A8381-3C4B-FB4F-A364-5B6D62461FB8}"/>
    <hyperlink ref="AM33" r:id="rId2" display="https://www.bls.gov/data/inflation_calculator.htm" xr:uid="{EE4EED72-CD54-0549-9506-1D4AAB39D815}"/>
    <hyperlink ref="Q12" r:id="rId3" location="sec2" xr:uid="{3FD71FB2-4D6F-E74B-B80B-58B98CFB5FB5}"/>
    <hyperlink ref="Y3" r:id="rId4" xr:uid="{5A390AF1-E71A-654D-A926-E51A88FC5887}"/>
    <hyperlink ref="AT3" r:id="rId5" xr:uid="{07036431-3230-254B-B313-D81558D662C6}"/>
  </hyperlinks>
  <pageMargins left="0.7" right="0.7" top="0.75" bottom="0.75" header="0.3" footer="0.3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3B256-E913-AE4F-9989-C1FD27362974}">
  <dimension ref="A1:W112"/>
  <sheetViews>
    <sheetView workbookViewId="0">
      <selection activeCell="A2" sqref="A2"/>
    </sheetView>
  </sheetViews>
  <sheetFormatPr baseColWidth="10" defaultRowHeight="16"/>
  <cols>
    <col min="1" max="1" width="25.6640625" bestFit="1" customWidth="1"/>
    <col min="2" max="2" width="13.33203125" bestFit="1" customWidth="1"/>
    <col min="3" max="3" width="11.33203125" customWidth="1"/>
    <col min="4" max="4" width="11.6640625" bestFit="1" customWidth="1"/>
    <col min="5" max="5" width="15.83203125" customWidth="1"/>
    <col min="6" max="6" width="12.1640625" bestFit="1" customWidth="1"/>
    <col min="14" max="14" width="13.6640625" bestFit="1" customWidth="1"/>
    <col min="15" max="15" width="21.83203125" bestFit="1" customWidth="1"/>
    <col min="16" max="16" width="11.1640625" bestFit="1" customWidth="1"/>
    <col min="17" max="17" width="13.1640625" bestFit="1" customWidth="1"/>
  </cols>
  <sheetData>
    <row r="1" spans="1:17">
      <c r="A1" t="s">
        <v>385</v>
      </c>
      <c r="L1" t="s">
        <v>384</v>
      </c>
    </row>
    <row r="2" spans="1:17">
      <c r="B2">
        <f>Summary!B20</f>
        <v>12000000</v>
      </c>
      <c r="C2" t="s">
        <v>24</v>
      </c>
      <c r="L2" t="s">
        <v>3</v>
      </c>
      <c r="M2" t="s">
        <v>19</v>
      </c>
      <c r="N2" t="s">
        <v>26</v>
      </c>
    </row>
    <row r="3" spans="1:17">
      <c r="L3" t="s">
        <v>5</v>
      </c>
      <c r="M3">
        <v>17.030999999999999</v>
      </c>
      <c r="N3" t="s">
        <v>21</v>
      </c>
    </row>
    <row r="4" spans="1:17">
      <c r="A4" s="2" t="s">
        <v>27</v>
      </c>
      <c r="B4" s="6">
        <f>-(B2/M4)*L11</f>
        <v>399600.3996003996</v>
      </c>
      <c r="C4" t="s">
        <v>52</v>
      </c>
      <c r="L4" t="s">
        <v>20</v>
      </c>
      <c r="M4">
        <v>60.06</v>
      </c>
      <c r="N4" t="s">
        <v>18</v>
      </c>
      <c r="Q4" s="6"/>
    </row>
    <row r="5" spans="1:17">
      <c r="B5" s="6">
        <f>B4*M3</f>
        <v>6805594.4055944048</v>
      </c>
      <c r="C5" t="s">
        <v>44</v>
      </c>
      <c r="H5" s="9"/>
      <c r="L5" t="s">
        <v>23</v>
      </c>
      <c r="M5">
        <v>44.01</v>
      </c>
      <c r="N5" t="s">
        <v>25</v>
      </c>
    </row>
    <row r="6" spans="1:17">
      <c r="A6" t="s">
        <v>23</v>
      </c>
      <c r="B6" s="6">
        <f>B2/M4</f>
        <v>199800.1998001998</v>
      </c>
      <c r="C6" t="s">
        <v>52</v>
      </c>
      <c r="L6" t="s">
        <v>4</v>
      </c>
      <c r="M6">
        <v>2.02</v>
      </c>
      <c r="N6" t="s">
        <v>45</v>
      </c>
    </row>
    <row r="7" spans="1:17">
      <c r="B7" s="6">
        <f>B6*M5</f>
        <v>8793206.7932067923</v>
      </c>
      <c r="C7" t="s">
        <v>44</v>
      </c>
      <c r="L7" t="s">
        <v>17</v>
      </c>
      <c r="M7">
        <v>28.02</v>
      </c>
      <c r="N7" t="s">
        <v>46</v>
      </c>
    </row>
    <row r="8" spans="1:17">
      <c r="A8" t="s">
        <v>43</v>
      </c>
      <c r="B8" s="6">
        <f>-(B4*L14)</f>
        <v>599400.59940059937</v>
      </c>
      <c r="C8" t="s">
        <v>52</v>
      </c>
      <c r="L8" t="s">
        <v>41</v>
      </c>
      <c r="M8">
        <v>18.02</v>
      </c>
      <c r="N8" t="s">
        <v>48</v>
      </c>
    </row>
    <row r="9" spans="1:17">
      <c r="B9" s="6">
        <f>B8*M6</f>
        <v>1210789.2107892106</v>
      </c>
      <c r="C9" t="s">
        <v>44</v>
      </c>
    </row>
    <row r="10" spans="1:17">
      <c r="A10" t="s">
        <v>47</v>
      </c>
      <c r="B10" s="6">
        <f>-(B4*M14)</f>
        <v>199800.1998001998</v>
      </c>
      <c r="C10" t="s">
        <v>52</v>
      </c>
      <c r="L10" t="s">
        <v>22</v>
      </c>
    </row>
    <row r="11" spans="1:17">
      <c r="B11" s="6">
        <f>B10*M7</f>
        <v>5598401.5984015986</v>
      </c>
      <c r="C11" t="s">
        <v>44</v>
      </c>
      <c r="L11">
        <v>-2</v>
      </c>
      <c r="M11">
        <v>-1</v>
      </c>
      <c r="N11">
        <v>1</v>
      </c>
    </row>
    <row r="12" spans="1:17">
      <c r="A12" t="s">
        <v>48</v>
      </c>
      <c r="B12" s="6">
        <f>-(L18*B8)</f>
        <v>599400.59940059937</v>
      </c>
      <c r="C12" t="s">
        <v>52</v>
      </c>
      <c r="L12" t="s">
        <v>5</v>
      </c>
      <c r="M12" t="s">
        <v>23</v>
      </c>
      <c r="N12" t="s">
        <v>20</v>
      </c>
    </row>
    <row r="13" spans="1:17">
      <c r="B13" s="6">
        <f>B12*M8</f>
        <v>10801198.801198801</v>
      </c>
      <c r="C13" t="s">
        <v>44</v>
      </c>
    </row>
    <row r="14" spans="1:17">
      <c r="B14" s="6">
        <f>B13</f>
        <v>10801198.801198801</v>
      </c>
      <c r="C14" t="s">
        <v>50</v>
      </c>
      <c r="L14">
        <f>-3/2</f>
        <v>-1.5</v>
      </c>
      <c r="M14">
        <f>-1/2</f>
        <v>-0.5</v>
      </c>
      <c r="N14">
        <v>1</v>
      </c>
    </row>
    <row r="15" spans="1:17">
      <c r="L15" t="s">
        <v>4</v>
      </c>
      <c r="M15" t="s">
        <v>17</v>
      </c>
      <c r="N15" t="s">
        <v>5</v>
      </c>
    </row>
    <row r="18" spans="3:14">
      <c r="C18" s="3"/>
      <c r="D18" s="1"/>
      <c r="L18">
        <v>-1</v>
      </c>
      <c r="M18">
        <v>1</v>
      </c>
      <c r="N18">
        <v>0.5</v>
      </c>
    </row>
    <row r="19" spans="3:14">
      <c r="C19" s="6"/>
      <c r="L19" t="s">
        <v>41</v>
      </c>
      <c r="M19" t="s">
        <v>4</v>
      </c>
      <c r="N19" t="s">
        <v>42</v>
      </c>
    </row>
    <row r="21" spans="3:14">
      <c r="C21" s="6"/>
    </row>
    <row r="22" spans="3:14">
      <c r="C22" s="6"/>
    </row>
    <row r="23" spans="3:14">
      <c r="C23" s="6"/>
    </row>
    <row r="24" spans="3:14">
      <c r="C24" s="6"/>
    </row>
    <row r="25" spans="3:14">
      <c r="C25" s="6"/>
    </row>
    <row r="26" spans="3:14">
      <c r="C26" s="6"/>
    </row>
    <row r="27" spans="3:14">
      <c r="C27" s="6"/>
    </row>
    <row r="28" spans="3:14">
      <c r="C28" s="7"/>
    </row>
    <row r="29" spans="3:14">
      <c r="C29" s="15"/>
    </row>
    <row r="30" spans="3:14">
      <c r="C30" s="6"/>
    </row>
    <row r="31" spans="3:14">
      <c r="C31" s="6"/>
    </row>
    <row r="32" spans="3:14">
      <c r="C32" s="6"/>
    </row>
    <row r="33" spans="2:13">
      <c r="C33" s="6"/>
    </row>
    <row r="34" spans="2:13">
      <c r="C34" s="6"/>
      <c r="J34" s="6"/>
    </row>
    <row r="35" spans="2:13">
      <c r="C35" s="6"/>
      <c r="D35" s="6"/>
      <c r="E35" s="6"/>
      <c r="F35" s="7"/>
      <c r="G35" s="7"/>
      <c r="J35" s="6"/>
      <c r="K35" s="6"/>
      <c r="L35" s="6"/>
      <c r="M35" s="7"/>
    </row>
    <row r="36" spans="2:13">
      <c r="C36" s="6"/>
      <c r="D36" s="6"/>
      <c r="E36" s="6"/>
      <c r="F36" s="6"/>
      <c r="G36" s="7"/>
      <c r="J36" s="6"/>
      <c r="K36" s="6"/>
      <c r="L36" s="6"/>
      <c r="M36" s="6"/>
    </row>
    <row r="37" spans="2:13">
      <c r="C37" s="6"/>
      <c r="D37" s="6"/>
      <c r="E37" s="6"/>
      <c r="F37" s="6"/>
      <c r="G37" s="7"/>
      <c r="J37" s="6"/>
      <c r="K37" s="6"/>
      <c r="L37" s="6"/>
      <c r="M37" s="6"/>
    </row>
    <row r="38" spans="2:13" ht="17" customHeight="1">
      <c r="C38" s="6"/>
      <c r="D38" s="6"/>
      <c r="E38" s="6"/>
      <c r="F38" s="6"/>
      <c r="G38" s="7"/>
      <c r="J38" s="6"/>
      <c r="K38" s="6"/>
      <c r="L38" s="6"/>
      <c r="M38" s="6"/>
    </row>
    <row r="39" spans="2:13">
      <c r="C39" s="6"/>
      <c r="D39" s="6"/>
      <c r="E39" s="6"/>
      <c r="F39" s="6"/>
      <c r="G39" s="7"/>
      <c r="J39" s="6"/>
      <c r="K39" s="6"/>
      <c r="L39" s="6"/>
      <c r="M39" s="6"/>
    </row>
    <row r="40" spans="2:13">
      <c r="C40" s="6"/>
      <c r="G40" s="7"/>
    </row>
    <row r="41" spans="2:13">
      <c r="C41" s="6"/>
      <c r="D41" s="6"/>
      <c r="E41" s="6"/>
      <c r="F41" s="7"/>
      <c r="G41" s="7"/>
    </row>
    <row r="42" spans="2:13">
      <c r="C42" s="6"/>
      <c r="D42" s="6"/>
      <c r="E42" s="6"/>
      <c r="F42" s="6"/>
      <c r="G42" s="7"/>
    </row>
    <row r="43" spans="2:13">
      <c r="C43" s="6"/>
      <c r="D43" s="6"/>
      <c r="E43" s="6"/>
      <c r="F43" s="6"/>
      <c r="G43" s="7"/>
    </row>
    <row r="44" spans="2:13">
      <c r="C44" s="6"/>
      <c r="D44" s="6"/>
      <c r="E44" s="6"/>
      <c r="F44" s="6"/>
      <c r="G44" s="7"/>
    </row>
    <row r="45" spans="2:13">
      <c r="C45" s="6"/>
    </row>
    <row r="46" spans="2:13">
      <c r="B46" s="6"/>
      <c r="C46" s="6"/>
    </row>
    <row r="47" spans="2:13">
      <c r="B47" s="6"/>
    </row>
    <row r="48" spans="2:13">
      <c r="B48" s="6"/>
      <c r="C48" s="6"/>
    </row>
    <row r="49" spans="2:23">
      <c r="B49" s="6"/>
      <c r="C49" s="6"/>
    </row>
    <row r="50" spans="2:23">
      <c r="C50" s="6"/>
    </row>
    <row r="51" spans="2:23">
      <c r="C51" s="6"/>
    </row>
    <row r="52" spans="2:23">
      <c r="C52" s="6"/>
    </row>
    <row r="53" spans="2:23">
      <c r="W53" s="47"/>
    </row>
    <row r="54" spans="2:23">
      <c r="W54" s="47"/>
    </row>
    <row r="55" spans="2:23">
      <c r="W55" s="47"/>
    </row>
    <row r="56" spans="2:23">
      <c r="W56" s="47"/>
    </row>
    <row r="57" spans="2:23">
      <c r="W57" s="47"/>
    </row>
    <row r="58" spans="2:23">
      <c r="C58" s="6"/>
      <c r="W58" s="47"/>
    </row>
    <row r="59" spans="2:23">
      <c r="C59" s="6"/>
      <c r="W59" s="47"/>
    </row>
    <row r="60" spans="2:23">
      <c r="C60" s="6"/>
      <c r="W60" s="47"/>
    </row>
    <row r="61" spans="2:23">
      <c r="C61" s="6"/>
      <c r="W61" s="47"/>
    </row>
    <row r="62" spans="2:23">
      <c r="C62" s="6"/>
      <c r="W62" s="47"/>
    </row>
    <row r="63" spans="2:23">
      <c r="C63" s="6"/>
      <c r="W63" s="47"/>
    </row>
    <row r="64" spans="2:23">
      <c r="C64" s="6"/>
      <c r="W64" s="47"/>
    </row>
    <row r="65" spans="2:23">
      <c r="C65" s="6"/>
      <c r="W65" s="47"/>
    </row>
    <row r="66" spans="2:23">
      <c r="D66" s="6"/>
      <c r="W66" s="47"/>
    </row>
    <row r="67" spans="2:23">
      <c r="D67" s="6"/>
      <c r="E67" s="6"/>
      <c r="W67" s="47"/>
    </row>
    <row r="68" spans="2:23">
      <c r="B68" s="6"/>
      <c r="D68" s="6"/>
      <c r="E68" s="6"/>
      <c r="W68" s="47"/>
    </row>
    <row r="69" spans="2:23">
      <c r="C69" s="6"/>
      <c r="D69" s="6"/>
      <c r="E69" s="6"/>
      <c r="J69" s="1"/>
      <c r="W69" s="47"/>
    </row>
    <row r="70" spans="2:23">
      <c r="C70" s="6"/>
      <c r="D70" s="6"/>
      <c r="E70" s="6"/>
      <c r="W70" s="47"/>
    </row>
    <row r="71" spans="2:23">
      <c r="C71" s="6"/>
      <c r="D71" s="6"/>
      <c r="E71" s="6"/>
      <c r="J71" s="81"/>
      <c r="W71" s="47"/>
    </row>
    <row r="72" spans="2:23">
      <c r="D72" s="6"/>
      <c r="E72" s="6"/>
      <c r="W72" s="47"/>
    </row>
    <row r="73" spans="2:23">
      <c r="C73" s="6"/>
      <c r="W73" s="47"/>
    </row>
    <row r="74" spans="2:23">
      <c r="C74" s="6"/>
      <c r="W74" s="47"/>
    </row>
    <row r="75" spans="2:23">
      <c r="C75" s="6"/>
      <c r="W75" s="47"/>
    </row>
    <row r="76" spans="2:23">
      <c r="C76" s="6"/>
      <c r="W76" s="47"/>
    </row>
    <row r="77" spans="2:23">
      <c r="C77" s="6"/>
      <c r="W77" s="47"/>
    </row>
    <row r="78" spans="2:23">
      <c r="W78" s="47"/>
    </row>
    <row r="79" spans="2:23">
      <c r="B79" s="6"/>
      <c r="C79" s="6"/>
      <c r="G79" s="1"/>
      <c r="W79" s="47"/>
    </row>
    <row r="80" spans="2:23">
      <c r="C80" s="6"/>
      <c r="W80" s="47"/>
    </row>
    <row r="81" spans="1:23">
      <c r="A81" s="6"/>
      <c r="B81" s="4"/>
      <c r="C81" s="4"/>
      <c r="D81" s="6"/>
      <c r="E81" s="5"/>
      <c r="W81" s="47"/>
    </row>
    <row r="82" spans="1:23">
      <c r="D82" s="7"/>
      <c r="W82" s="47"/>
    </row>
    <row r="83" spans="1:23">
      <c r="D83" s="7"/>
      <c r="W83" s="47"/>
    </row>
    <row r="84" spans="1:23">
      <c r="W84" s="47"/>
    </row>
    <row r="85" spans="1:23">
      <c r="B85" s="6"/>
      <c r="C85" s="6"/>
      <c r="G85" s="1"/>
      <c r="W85" s="47"/>
    </row>
    <row r="86" spans="1:23">
      <c r="W86" s="47"/>
    </row>
    <row r="87" spans="1:23">
      <c r="B87" s="6"/>
      <c r="C87" s="6"/>
      <c r="W87" s="47"/>
    </row>
    <row r="88" spans="1:23">
      <c r="W88" s="47"/>
    </row>
    <row r="89" spans="1:23">
      <c r="W89" s="47"/>
    </row>
    <row r="90" spans="1:23">
      <c r="W90" s="47"/>
    </row>
    <row r="91" spans="1:23">
      <c r="W91" s="47"/>
    </row>
    <row r="92" spans="1:23">
      <c r="W92" s="47"/>
    </row>
    <row r="93" spans="1:23">
      <c r="B93" s="2"/>
      <c r="W93" s="47"/>
    </row>
    <row r="94" spans="1:23">
      <c r="B94" s="6"/>
      <c r="C94" s="6"/>
      <c r="W94" s="47"/>
    </row>
    <row r="95" spans="1:23">
      <c r="B95" s="6"/>
      <c r="C95" s="6"/>
      <c r="W95" s="47"/>
    </row>
    <row r="96" spans="1:23">
      <c r="B96" s="6"/>
      <c r="C96" s="6"/>
      <c r="W96" s="47"/>
    </row>
    <row r="97" spans="2:23">
      <c r="B97" s="6"/>
      <c r="C97" s="6"/>
      <c r="W97" s="47"/>
    </row>
    <row r="98" spans="2:23">
      <c r="W98" s="47"/>
    </row>
    <row r="99" spans="2:23">
      <c r="W99" s="47"/>
    </row>
    <row r="100" spans="2:23">
      <c r="W100" s="47"/>
    </row>
    <row r="101" spans="2:23">
      <c r="W101" s="47"/>
    </row>
    <row r="102" spans="2:23">
      <c r="W102" s="47"/>
    </row>
    <row r="103" spans="2:23">
      <c r="W103" s="47"/>
    </row>
    <row r="104" spans="2:23">
      <c r="B104" s="14"/>
      <c r="W104" s="47"/>
    </row>
    <row r="105" spans="2:23">
      <c r="W105" s="47"/>
    </row>
    <row r="106" spans="2:23">
      <c r="W106" s="47"/>
    </row>
    <row r="107" spans="2:23">
      <c r="W107" s="47"/>
    </row>
    <row r="108" spans="2:23">
      <c r="W108" s="47"/>
    </row>
    <row r="109" spans="2:23">
      <c r="W109" s="47"/>
    </row>
    <row r="110" spans="2:23">
      <c r="W110" s="47"/>
    </row>
    <row r="111" spans="2:23">
      <c r="W111" s="47"/>
    </row>
    <row r="112" spans="2:23">
      <c r="W112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H2</vt:lpstr>
      <vt:lpstr>NH3</vt:lpstr>
      <vt:lpstr>Direct Air Capture</vt:lpstr>
      <vt:lpstr>Urea</vt:lpstr>
      <vt:lpstr>Intermediate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Alimento</dc:creator>
  <cp:lastModifiedBy>Ryan Alimento</cp:lastModifiedBy>
  <dcterms:created xsi:type="dcterms:W3CDTF">2025-04-16T18:19:00Z</dcterms:created>
  <dcterms:modified xsi:type="dcterms:W3CDTF">2025-06-25T15:14:56Z</dcterms:modified>
</cp:coreProperties>
</file>